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96B5224-7754-4505-A687-0A9A146CCE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I57" i="1" l="1"/>
  <c r="H57" i="1" l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G14" i="1" l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<sst xmlns="http://schemas.openxmlformats.org/spreadsheetml/2006/main" count="308" uniqueCount="132">
  <si>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</si>
  <si>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</si>
  <si>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</si>
  <si>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</si>
  <si>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</si>
  <si>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</si>
  <si>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</si>
  <si>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</si>
  <si>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</si>
  <si>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</si>
  <si>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</si>
  <si>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</si>
  <si>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</si>
  <si>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</si>
  <si>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</si>
  <si>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</si>
  <si>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</si>
  <si>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</si>
  <si>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</si>
  <si>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</si>
  <si>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</si>
  <si>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</si>
  <si>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</si>
  <si>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</si>
  <si>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</si>
  <si>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</si>
  <si>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</si>
  <si>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</si>
  <si>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</si>
  <si>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</si>
  <si>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</si>
  <si>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</si>
  <si>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</si>
  <si>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</si>
  <si>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</si>
  <si>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</si>
  <si>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</si>
  <si>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</si>
  <si>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</si>
  <si>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</si>
  <si>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</si>
  <si>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</si>
  <si>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</si>
  <si>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</si>
  <si>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</si>
  <si>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</si>
  <si>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</si>
  <si>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</si>
  <si>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</si>
  <si>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</si>
  <si>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</si>
  <si>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</si>
  <si>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</si>
  <si>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</si>
  <si>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</si>
  <si>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</si>
  <si>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</si>
  <si>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</si>
  <si>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</si>
  <si>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</si>
  <si>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</si>
  <si>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</si>
  <si>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</si>
  <si>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</si>
  <si>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</si>
  <si>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</si>
  <si>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</si>
  <si>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</si>
  <si>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</si>
  <si>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</si>
  <si>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</si>
  <si>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</si>
  <si>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</si>
  <si>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</si>
  <si>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</si>
  <si>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</si>
  <si>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</si>
  <si>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</si>
  <si>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</si>
  <si>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</si>
  <si>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</si>
  <si>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</si>
  <si>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</si>
  <si>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</si>
  <si>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</si>
  <si>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</si>
  <si>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</si>
  <si>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</si>
  <si>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</si>
  <si>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</si>
  <si>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</si>
  <si>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</si>
  <si>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</si>
  <si>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</si>
  <si>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</si>
  <si>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</si>
  <si>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</si>
  <si>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</si>
  <si>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</si>
  <si>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</si>
  <si>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</si>
  <si>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</si>
  <si>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</si>
  <si>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</si>
  <si>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</si>
  <si>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</si>
  <si>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</si>
  <si>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</si>
  <si>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</si>
  <si>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</si>
  <si>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</si>
  <si>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</si>
  <si>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</si>
  <si>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</si>
  <si>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</si>
  <si>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</si>
  <si>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</si>
  <si>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</si>
  <si>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</si>
  <si>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</si>
  <si>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</si>
  <si>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</si>
  <si>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</si>
  <si>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</si>
  <si>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</si>
  <si>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ABRIL 2021</t>
  </si>
  <si>
    <t>Abril</t>
  </si>
  <si>
    <t>Enero - Abril</t>
  </si>
  <si>
    <t>Grafico N° 11: Generación de energía eléctrica por Región, al mes de abril 2021</t>
  </si>
  <si>
    <t>Cuadro N° 8: Producción de energía eléctrica nacional por zona del país, al mes de abril</t>
  </si>
  <si>
    <t>3.2 Producción de energía eléctrica (GWh) por origen y zona al mes de abril 2021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</si>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</sst>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99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67" fontId="0" fillId="68" borderId="84" xfId="0" applyNumberFormat="1" applyFont="1" applyFill="1" applyBorder="1" applyAlignment="1">
      <alignment vertical="center"/>
    </xf>
    <xf numFmtId="167" fontId="99" fillId="0" borderId="86" xfId="0" applyNumberFormat="1" applyFont="1" applyBorder="1"/>
    <xf numFmtId="167" fontId="99" fillId="0" borderId="60" xfId="0" applyNumberFormat="1" applyFont="1" applyBorder="1"/>
    <xf numFmtId="167" fontId="99" fillId="0" borderId="28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Abril 2021</a:t>
            </a:r>
          </a:p>
          <a:p>
            <a:pPr>
              <a:defRPr sz="800" b="1"/>
            </a:pPr>
            <a:r>
              <a:rPr lang="es-PE" sz="800" b="1"/>
              <a:t>Total : 4 652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55.843469242743971</c:v>
                </c:pt>
                <c:pt idx="1">
                  <c:v>122.45840944618</c:v>
                </c:pt>
                <c:pt idx="2">
                  <c:v>3213.8840469515258</c:v>
                </c:pt>
                <c:pt idx="3">
                  <c:v>1036.2560840062399</c:v>
                </c:pt>
                <c:pt idx="4">
                  <c:v>223.61980005000004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2674.6371082469127</c:v>
                </c:pt>
                <c:pt idx="2" formatCode="_ * #,##0.00_ ;_ * \-#,##0.00_ ;_ * &quot;-&quot;??_ ;_ @_ ">
                  <c:v>6.4619999999999999E-3</c:v>
                </c:pt>
                <c:pt idx="3">
                  <c:v>960.12662915429428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70.221459230000008</c:v>
                </c:pt>
                <c:pt idx="1">
                  <c:v>421.79484958906085</c:v>
                </c:pt>
                <c:pt idx="2">
                  <c:v>62.391470147499973</c:v>
                </c:pt>
                <c:pt idx="3">
                  <c:v>71.787776013825123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35.401473436394667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3634.7701994012068</c:v>
                </c:pt>
                <c:pt idx="1">
                  <c:v>626.19555498038596</c:v>
                </c:pt>
                <c:pt idx="2">
                  <c:v>355.6945818787006</c:v>
                </c:pt>
                <c:pt idx="3">
                  <c:v>35.401473436394667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AREQUIPA</c:v>
                </c:pt>
                <c:pt idx="7">
                  <c:v>CAJAMARCA</c:v>
                </c:pt>
                <c:pt idx="8">
                  <c:v>CALLAO</c:v>
                </c:pt>
                <c:pt idx="9">
                  <c:v>PUNO</c:v>
                </c:pt>
                <c:pt idx="10">
                  <c:v>ICA</c:v>
                </c:pt>
                <c:pt idx="11">
                  <c:v>PIURA</c:v>
                </c:pt>
                <c:pt idx="12">
                  <c:v>LA LIBERTAD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SAN MARTÍN</c:v>
                </c:pt>
                <c:pt idx="18">
                  <c:v>LAMBAYEQUE</c:v>
                </c:pt>
                <c:pt idx="19">
                  <c:v>APURIMAC</c:v>
                </c:pt>
                <c:pt idx="20">
                  <c:v>AMAZONAS</c:v>
                </c:pt>
                <c:pt idx="21">
                  <c:v>MADRE DE DIOS</c:v>
                </c:pt>
                <c:pt idx="22">
                  <c:v>UCAYALI</c:v>
                </c:pt>
                <c:pt idx="23">
                  <c:v>AYACUCHO</c:v>
                </c:pt>
                <c:pt idx="24">
                  <c:v>TUMBES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1582.8663439958295</c:v>
                </c:pt>
                <c:pt idx="1">
                  <c:v>980.83489137416689</c:v>
                </c:pt>
                <c:pt idx="2">
                  <c:v>301.41365466333343</c:v>
                </c:pt>
                <c:pt idx="3">
                  <c:v>296.18857225099998</c:v>
                </c:pt>
                <c:pt idx="4">
                  <c:v>258.13678650323305</c:v>
                </c:pt>
                <c:pt idx="5">
                  <c:v>189.49844741583343</c:v>
                </c:pt>
                <c:pt idx="6">
                  <c:v>127.85507262166678</c:v>
                </c:pt>
                <c:pt idx="7">
                  <c:v>121.49508776840405</c:v>
                </c:pt>
                <c:pt idx="8">
                  <c:v>117.22409099281076</c:v>
                </c:pt>
                <c:pt idx="9">
                  <c:v>116.49779667000006</c:v>
                </c:pt>
                <c:pt idx="10">
                  <c:v>115.08019940955245</c:v>
                </c:pt>
                <c:pt idx="11">
                  <c:v>110.29619902157066</c:v>
                </c:pt>
                <c:pt idx="12">
                  <c:v>108.96863153349391</c:v>
                </c:pt>
                <c:pt idx="13">
                  <c:v>96.565911463333336</c:v>
                </c:pt>
                <c:pt idx="14">
                  <c:v>56.450972134999994</c:v>
                </c:pt>
                <c:pt idx="15">
                  <c:v>35.401473436394667</c:v>
                </c:pt>
                <c:pt idx="16">
                  <c:v>12.993289075</c:v>
                </c:pt>
                <c:pt idx="17">
                  <c:v>5.5</c:v>
                </c:pt>
                <c:pt idx="18">
                  <c:v>5.092416233333334</c:v>
                </c:pt>
                <c:pt idx="19">
                  <c:v>4.5422396666666671</c:v>
                </c:pt>
                <c:pt idx="20">
                  <c:v>3.2416993218986669</c:v>
                </c:pt>
                <c:pt idx="21">
                  <c:v>2.1474317533333331</c:v>
                </c:pt>
                <c:pt idx="22">
                  <c:v>1.5399481575</c:v>
                </c:pt>
                <c:pt idx="23">
                  <c:v>1.1301062333333334</c:v>
                </c:pt>
                <c:pt idx="24">
                  <c:v>1.1005480000000003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2824.0798970418687</c:v>
                </c:pt>
                <c:pt idx="1">
                  <c:v>291.58024687031036</c:v>
                </c:pt>
                <c:pt idx="2">
                  <c:v>142.07520899999997</c:v>
                </c:pt>
                <c:pt idx="3">
                  <c:v>64.591389000000007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3269.7275161942698</c:v>
                </c:pt>
                <c:pt idx="1">
                  <c:v>1158.7144934524199</c:v>
                </c:pt>
                <c:pt idx="2">
                  <c:v>161.22832990250006</c:v>
                </c:pt>
                <c:pt idx="3">
                  <c:v>62.391470147499973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167.23043746539409</c:v>
                </c:pt>
                <c:pt idx="1">
                  <c:v>172.0117632018621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3155.0963044467849</c:v>
                </c:pt>
                <c:pt idx="1">
                  <c:v>4480.0500464948273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2592.2061275018687</c:v>
                </c:pt>
                <c:pt idx="1">
                  <c:v>3028.0696569542702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259.6269938703104</c:v>
                </c:pt>
                <c:pt idx="1">
                  <c:v>1117.7550272875483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231.87376954000001</c:v>
                </c:pt>
                <c:pt idx="1">
                  <c:v>241.65785923999962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238.61985099999995</c:v>
                </c:pt>
                <c:pt idx="1">
                  <c:v>264.57926621487161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3269.7275161942698</c:v>
                </c:pt>
                <c:pt idx="1">
                  <c:v>1054.4301890417023</c:v>
                </c:pt>
                <c:pt idx="2">
                  <c:v>63.078230242342215</c:v>
                </c:pt>
                <c:pt idx="3">
                  <c:v>40.959466164871571</c:v>
                </c:pt>
                <c:pt idx="4">
                  <c:v>161.22832990250006</c:v>
                </c:pt>
                <c:pt idx="5">
                  <c:v>62.391470147499973</c:v>
                </c:pt>
                <c:pt idx="6" formatCode="#,##0.0">
                  <c:v>0.24660800350359161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3083.7068909121786</c:v>
                </c:pt>
                <c:pt idx="1">
                  <c:v>4387.4825434818176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238.61985099999998</c:v>
                </c:pt>
                <c:pt idx="1">
                  <c:v>264.57926621487161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7.1823113599796443E-2</c:v>
                </c:pt>
                <c:pt idx="1">
                  <c:v>5.6873549199923885E-2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2824.0798970418687</c:v>
                </c:pt>
                <c:pt idx="1">
                  <c:v>185.91804300000001</c:v>
                </c:pt>
                <c:pt idx="2">
                  <c:v>73.433950870309673</c:v>
                </c:pt>
                <c:pt idx="3" formatCode="#,##0.00">
                  <c:v>0.27500000000000002</c:v>
                </c:pt>
                <c:pt idx="4">
                  <c:v>31.953252999999989</c:v>
                </c:pt>
                <c:pt idx="5">
                  <c:v>142.07520899999997</c:v>
                </c:pt>
                <c:pt idx="6">
                  <c:v>64.591389000000007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3269.7275161942698</c:v>
                </c:pt>
                <c:pt idx="1">
                  <c:v>1054.4301890417023</c:v>
                </c:pt>
                <c:pt idx="2">
                  <c:v>63.078230242342215</c:v>
                </c:pt>
                <c:pt idx="3" formatCode="#,##0.00">
                  <c:v>0.24660800350359161</c:v>
                </c:pt>
                <c:pt idx="4">
                  <c:v>40.959466164871571</c:v>
                </c:pt>
                <c:pt idx="5">
                  <c:v>161.22832990250006</c:v>
                </c:pt>
                <c:pt idx="6">
                  <c:v>62.391470147499973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91.006870672500057</c:v>
                </c:pt>
                <c:pt idx="1">
                  <c:v>173.29555835829632</c:v>
                </c:pt>
                <c:pt idx="2">
                  <c:v>0</c:v>
                </c:pt>
                <c:pt idx="3">
                  <c:v>91.392152847904242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abril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C1" sqref="C1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2" t="s">
        <v>64</v>
      </c>
      <c r="R11" s="146" t="s">
        <v>41</v>
      </c>
      <c r="S11" s="147">
        <f>E12</f>
        <v>55.843469242743971</v>
      </c>
    </row>
    <row r="12" spans="2:19" s="1" customFormat="1">
      <c r="B12" s="8"/>
      <c r="C12" s="137" t="s">
        <v>66</v>
      </c>
      <c r="D12" s="138">
        <v>3213.8840469515258</v>
      </c>
      <c r="E12" s="139">
        <v>55.843469242743971</v>
      </c>
      <c r="F12" s="140">
        <f>SUM(D12:E12)</f>
        <v>3269.7275161942698</v>
      </c>
      <c r="G12" s="339">
        <f>(F12/F$16)</f>
        <v>0.70285556167351382</v>
      </c>
      <c r="H12" s="9"/>
      <c r="I12" s="9"/>
      <c r="J12" s="9"/>
      <c r="K12" s="9"/>
      <c r="Q12" s="372"/>
      <c r="R12" s="146" t="s">
        <v>73</v>
      </c>
      <c r="S12" s="147">
        <f>E13</f>
        <v>122.45840944618</v>
      </c>
    </row>
    <row r="13" spans="2:19" s="1" customFormat="1">
      <c r="B13" s="8"/>
      <c r="C13" s="137" t="s">
        <v>65</v>
      </c>
      <c r="D13" s="138">
        <v>1036.2560840062399</v>
      </c>
      <c r="E13" s="139">
        <v>122.45840944618</v>
      </c>
      <c r="F13" s="140">
        <f>SUM(D13:E13)</f>
        <v>1158.7144934524199</v>
      </c>
      <c r="G13" s="339">
        <f>(F13/F$16)</f>
        <v>0.24907547252214329</v>
      </c>
      <c r="H13" s="9"/>
      <c r="I13" s="9"/>
      <c r="J13" s="9"/>
      <c r="K13" s="9"/>
      <c r="Q13" s="372" t="s">
        <v>88</v>
      </c>
      <c r="R13" s="146" t="s">
        <v>41</v>
      </c>
      <c r="S13" s="147">
        <f>D12</f>
        <v>3213.8840469515258</v>
      </c>
    </row>
    <row r="14" spans="2:19" s="1" customFormat="1">
      <c r="B14" s="8"/>
      <c r="C14" s="137" t="s">
        <v>67</v>
      </c>
      <c r="D14" s="138">
        <v>161.22832990250006</v>
      </c>
      <c r="E14" s="141"/>
      <c r="F14" s="140">
        <f>SUM(D14:E14)</f>
        <v>161.22832990250006</v>
      </c>
      <c r="G14" s="339">
        <f>(F14/F$16)+0.0005</f>
        <v>3.5157392033450224E-2</v>
      </c>
      <c r="H14" s="9"/>
      <c r="I14" s="9"/>
      <c r="J14" s="9"/>
      <c r="K14" s="9"/>
      <c r="Q14" s="372"/>
      <c r="R14" s="146" t="s">
        <v>73</v>
      </c>
      <c r="S14" s="147">
        <f>D13</f>
        <v>1036.2560840062399</v>
      </c>
    </row>
    <row r="15" spans="2:19" s="1" customFormat="1" ht="13.8" thickBot="1">
      <c r="B15" s="8"/>
      <c r="C15" s="142" t="s">
        <v>5</v>
      </c>
      <c r="D15" s="143">
        <v>62.391470147499973</v>
      </c>
      <c r="E15" s="144"/>
      <c r="F15" s="145">
        <f>SUM(D15:E15)</f>
        <v>62.391470147499973</v>
      </c>
      <c r="G15" s="340">
        <f>(F15/F$16)</f>
        <v>1.341157377089275E-2</v>
      </c>
      <c r="H15" s="9"/>
      <c r="I15" s="9"/>
      <c r="J15" s="9"/>
      <c r="K15" s="9"/>
      <c r="Q15" s="372"/>
      <c r="R15" s="146" t="s">
        <v>87</v>
      </c>
      <c r="S15" s="147">
        <f>SUM(D14:D15)</f>
        <v>223.61980005000004</v>
      </c>
    </row>
    <row r="16" spans="2:19" s="1" customFormat="1" ht="13.8" thickTop="1">
      <c r="B16" s="8"/>
      <c r="C16" s="247" t="s">
        <v>71</v>
      </c>
      <c r="D16" s="248">
        <f>SUM(D12:D15)</f>
        <v>4473.7599310077658</v>
      </c>
      <c r="E16" s="249">
        <f>SUM(E12:E15)</f>
        <v>178.30187868892398</v>
      </c>
      <c r="F16" s="250">
        <f>SUM(F12:F15)</f>
        <v>4652.0618096966891</v>
      </c>
      <c r="G16" s="251"/>
      <c r="H16" s="9"/>
      <c r="I16" s="9"/>
      <c r="J16" s="9"/>
      <c r="K16" s="9"/>
    </row>
    <row r="17" spans="2:19" s="1" customFormat="1">
      <c r="B17" s="8"/>
      <c r="C17" s="252" t="s">
        <v>109</v>
      </c>
      <c r="D17" s="319">
        <f>D16/F16</f>
        <v>0.96167250436843432</v>
      </c>
      <c r="E17" s="320">
        <f>E16/F16</f>
        <v>3.832749563156581E-2</v>
      </c>
      <c r="F17" s="253"/>
      <c r="G17" s="254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68" t="s">
        <v>112</v>
      </c>
      <c r="D23" s="369"/>
      <c r="E23" s="373" t="s">
        <v>126</v>
      </c>
      <c r="F23" s="374"/>
      <c r="G23" s="151" t="s">
        <v>74</v>
      </c>
      <c r="H23" s="375" t="s">
        <v>127</v>
      </c>
      <c r="I23" s="376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6">
        <v>2020</v>
      </c>
      <c r="I24" s="155">
        <v>2021</v>
      </c>
      <c r="J24" s="156"/>
      <c r="K24" s="9"/>
      <c r="Q24" s="146" t="s">
        <v>76</v>
      </c>
      <c r="R24" s="147">
        <f>E29</f>
        <v>167.23043746539409</v>
      </c>
      <c r="S24" s="147">
        <f>F29</f>
        <v>172.0117632018621</v>
      </c>
    </row>
    <row r="25" spans="2:19" s="1" customFormat="1">
      <c r="B25" s="8"/>
      <c r="C25" s="364" t="s">
        <v>0</v>
      </c>
      <c r="D25" s="365"/>
      <c r="E25" s="191">
        <f>SUM(E26:E28)</f>
        <v>3155.0963044467849</v>
      </c>
      <c r="F25" s="192">
        <f>SUM(F26:F28)</f>
        <v>4480.0500464948273</v>
      </c>
      <c r="G25" s="193">
        <f>((F25/E25)-1)</f>
        <v>0.41994082405049116</v>
      </c>
      <c r="H25" s="237">
        <f>SUM(H26:H28)</f>
        <v>16563.950710787562</v>
      </c>
      <c r="I25" s="192">
        <f>SUM(I26:I28)</f>
        <v>18228.086826011724</v>
      </c>
      <c r="J25" s="193">
        <f>((I25/H25)-1)</f>
        <v>0.1004673428628573</v>
      </c>
      <c r="K25" s="9"/>
      <c r="Q25" s="146" t="s">
        <v>0</v>
      </c>
      <c r="R25" s="147">
        <f>E25</f>
        <v>3155.0963044467849</v>
      </c>
      <c r="S25" s="147">
        <f>F25</f>
        <v>4480.0500464948273</v>
      </c>
    </row>
    <row r="26" spans="2:19" s="1" customFormat="1">
      <c r="B26" s="8"/>
      <c r="C26" s="267" t="s">
        <v>62</v>
      </c>
      <c r="D26" s="276" t="s">
        <v>102</v>
      </c>
      <c r="E26" s="158">
        <v>3042.3435359874993</v>
      </c>
      <c r="F26" s="159">
        <v>4326.8283334224943</v>
      </c>
      <c r="G26" s="160">
        <f t="shared" ref="G26:G32" si="0">((F26/E26)-1)</f>
        <v>0.42220241805075132</v>
      </c>
      <c r="H26" s="238">
        <v>16045.828074517496</v>
      </c>
      <c r="I26" s="159">
        <v>17657.922539602492</v>
      </c>
      <c r="J26" s="160">
        <f t="shared" ref="J26:J32" si="1">((I26/H26)-1)</f>
        <v>0.10046813773638608</v>
      </c>
      <c r="K26" s="9"/>
    </row>
    <row r="27" spans="2:19" s="1" customFormat="1">
      <c r="B27" s="8"/>
      <c r="C27" s="268" t="s">
        <v>106</v>
      </c>
      <c r="D27" s="277" t="s">
        <v>77</v>
      </c>
      <c r="E27" s="270">
        <v>91.036384592000019</v>
      </c>
      <c r="F27" s="271">
        <v>102.94058328205641</v>
      </c>
      <c r="G27" s="280">
        <f t="shared" si="0"/>
        <v>0.1307630871261829</v>
      </c>
      <c r="H27" s="272">
        <v>357.12599239200006</v>
      </c>
      <c r="I27" s="271">
        <v>373.18971807895633</v>
      </c>
      <c r="J27" s="280">
        <f t="shared" si="1"/>
        <v>4.4980555963912927E-2</v>
      </c>
      <c r="K27" s="9"/>
    </row>
    <row r="28" spans="2:19" s="1" customFormat="1">
      <c r="B28" s="8"/>
      <c r="C28" s="269" t="s">
        <v>64</v>
      </c>
      <c r="D28" s="278" t="s">
        <v>77</v>
      </c>
      <c r="E28" s="158">
        <v>21.716383867285529</v>
      </c>
      <c r="F28" s="159">
        <v>50.281129790276566</v>
      </c>
      <c r="G28" s="279">
        <f t="shared" si="0"/>
        <v>1.3153546233828628</v>
      </c>
      <c r="H28" s="238">
        <v>160.99664387806351</v>
      </c>
      <c r="I28" s="159">
        <v>196.97456833027658</v>
      </c>
      <c r="J28" s="279">
        <f t="shared" si="1"/>
        <v>0.22347002760791845</v>
      </c>
      <c r="K28" s="9"/>
    </row>
    <row r="29" spans="2:19" s="1" customFormat="1">
      <c r="B29" s="8"/>
      <c r="C29" s="364" t="s">
        <v>76</v>
      </c>
      <c r="D29" s="365"/>
      <c r="E29" s="191">
        <f>SUM(E30:E31)</f>
        <v>167.23043746539409</v>
      </c>
      <c r="F29" s="192">
        <f>SUM(F30:F31)</f>
        <v>172.0117632018621</v>
      </c>
      <c r="G29" s="193">
        <f t="shared" si="0"/>
        <v>2.8591240978230514E-2</v>
      </c>
      <c r="H29" s="237">
        <f>SUM(H30:H31)</f>
        <v>778.97004607080771</v>
      </c>
      <c r="I29" s="192">
        <f>SUM(I30:I31)</f>
        <v>670.05335189499112</v>
      </c>
      <c r="J29" s="193">
        <f t="shared" si="1"/>
        <v>-0.13982141511756685</v>
      </c>
      <c r="K29" s="9"/>
      <c r="Q29" s="146"/>
      <c r="R29" s="146"/>
      <c r="S29" s="146"/>
    </row>
    <row r="30" spans="2:19" s="1" customFormat="1">
      <c r="B30" s="8"/>
      <c r="C30" s="273" t="s">
        <v>68</v>
      </c>
      <c r="D30" s="153"/>
      <c r="E30" s="158">
        <v>31.190974920289268</v>
      </c>
      <c r="F30" s="159">
        <v>43.991014303214705</v>
      </c>
      <c r="G30" s="279">
        <f t="shared" si="0"/>
        <v>0.41037638020731437</v>
      </c>
      <c r="H30" s="238">
        <v>150.21184054848126</v>
      </c>
      <c r="I30" s="159">
        <v>159.25432748705475</v>
      </c>
      <c r="J30" s="337">
        <f t="shared" si="1"/>
        <v>6.0198230083300386E-2</v>
      </c>
      <c r="K30" s="9"/>
    </row>
    <row r="31" spans="2:19" s="1" customFormat="1" ht="13.8" thickBot="1">
      <c r="B31" s="8"/>
      <c r="C31" s="274" t="s">
        <v>64</v>
      </c>
      <c r="D31" s="275"/>
      <c r="E31" s="162">
        <v>136.03946254510481</v>
      </c>
      <c r="F31" s="163">
        <v>128.02074889864738</v>
      </c>
      <c r="G31" s="164">
        <f t="shared" si="0"/>
        <v>-5.8944026214443279E-2</v>
      </c>
      <c r="H31" s="239">
        <v>628.75820552232642</v>
      </c>
      <c r="I31" s="163">
        <v>510.79902440793637</v>
      </c>
      <c r="J31" s="303">
        <f t="shared" si="1"/>
        <v>-0.1876065872037378</v>
      </c>
      <c r="K31" s="9"/>
    </row>
    <row r="32" spans="2:19" s="1" customFormat="1" ht="14.4" thickTop="1" thickBot="1">
      <c r="B32" s="8"/>
      <c r="C32" s="366" t="s">
        <v>108</v>
      </c>
      <c r="D32" s="367"/>
      <c r="E32" s="194">
        <f>SUM(E25,E29)</f>
        <v>3322.3267419121789</v>
      </c>
      <c r="F32" s="195">
        <f>SUM(F25,F29)</f>
        <v>4652.0618096966891</v>
      </c>
      <c r="G32" s="196">
        <f t="shared" si="0"/>
        <v>0.40024211075012306</v>
      </c>
      <c r="H32" s="240">
        <f>SUM(H25,H29)</f>
        <v>17342.92075685837</v>
      </c>
      <c r="I32" s="195">
        <f>SUM(I25,I29)</f>
        <v>18898.140177906716</v>
      </c>
      <c r="J32" s="196">
        <f t="shared" si="1"/>
        <v>8.96745965026291E-2</v>
      </c>
      <c r="K32" s="9"/>
    </row>
    <row r="33" spans="2:19" s="1" customFormat="1">
      <c r="B33" s="8"/>
      <c r="C33" s="314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73" t="s">
        <v>126</v>
      </c>
      <c r="F38" s="374"/>
      <c r="G38" s="370" t="s">
        <v>74</v>
      </c>
      <c r="H38" s="375" t="s">
        <v>127</v>
      </c>
      <c r="I38" s="376"/>
      <c r="J38" s="370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71"/>
      <c r="H39" s="241">
        <v>2020</v>
      </c>
      <c r="I39" s="94">
        <v>2021</v>
      </c>
      <c r="J39" s="371"/>
      <c r="K39" s="9"/>
      <c r="Q39" s="146" t="s">
        <v>66</v>
      </c>
      <c r="R39" s="147">
        <f>SUM(E41,E46)</f>
        <v>2824.0798970418687</v>
      </c>
      <c r="S39" s="147">
        <f>SUM(F41,F46)</f>
        <v>3269.7275161942698</v>
      </c>
    </row>
    <row r="40" spans="2:19" s="1" customFormat="1">
      <c r="B40" s="8"/>
      <c r="C40" s="364" t="s">
        <v>68</v>
      </c>
      <c r="D40" s="365"/>
      <c r="E40" s="191">
        <f>SUM(E41:E44)</f>
        <v>3164.570895499789</v>
      </c>
      <c r="F40" s="192">
        <f>SUM(F41:F44)</f>
        <v>4473.7599310077658</v>
      </c>
      <c r="G40" s="193">
        <f>((F40/E40)-1)</f>
        <v>0.41370191370012366</v>
      </c>
      <c r="H40" s="237">
        <f>SUM(H41:H44)</f>
        <v>16553.165907457984</v>
      </c>
      <c r="I40" s="192">
        <f>SUM(I41:I44)</f>
        <v>18190.366585168507</v>
      </c>
      <c r="J40" s="193">
        <f>((I40/H40)-1)</f>
        <v>9.8905592251261609E-2</v>
      </c>
      <c r="K40" s="9"/>
      <c r="Q40" s="146" t="s">
        <v>65</v>
      </c>
      <c r="R40" s="147">
        <f>SUM(E42,E47)</f>
        <v>291.58024687031036</v>
      </c>
      <c r="S40" s="147">
        <f>SUM(F42,F47)</f>
        <v>1158.7144934524199</v>
      </c>
    </row>
    <row r="41" spans="2:19" s="1" customFormat="1">
      <c r="B41" s="8"/>
      <c r="C41" s="157" t="s">
        <v>66</v>
      </c>
      <c r="D41" s="132"/>
      <c r="E41" s="158">
        <v>2776.1606484997887</v>
      </c>
      <c r="F41" s="159">
        <f>D12</f>
        <v>3213.8840469515258</v>
      </c>
      <c r="G41" s="279">
        <f t="shared" ref="G41:G48" si="2">((F41/E41)-1)</f>
        <v>0.15767221493045747</v>
      </c>
      <c r="H41" s="238">
        <v>12309.011451457982</v>
      </c>
      <c r="I41" s="159">
        <v>12758.978434392047</v>
      </c>
      <c r="J41" s="279">
        <f t="shared" ref="J41:J48" si="3">((I41/H41)-1)</f>
        <v>3.6555899286353055E-2</v>
      </c>
      <c r="K41" s="9"/>
      <c r="Q41" s="146" t="s">
        <v>67</v>
      </c>
      <c r="R41" s="147">
        <f>E43</f>
        <v>142.07520899999997</v>
      </c>
      <c r="S41" s="147">
        <f>F43</f>
        <v>161.22832990250006</v>
      </c>
    </row>
    <row r="42" spans="2:19" s="1" customFormat="1">
      <c r="B42" s="8"/>
      <c r="C42" s="157" t="s">
        <v>65</v>
      </c>
      <c r="D42" s="132"/>
      <c r="E42" s="158">
        <v>181.74364899999998</v>
      </c>
      <c r="F42" s="159">
        <f>D13</f>
        <v>1036.2560840062399</v>
      </c>
      <c r="G42" s="279">
        <f t="shared" si="2"/>
        <v>4.7017457815334174</v>
      </c>
      <c r="H42" s="238">
        <v>3495.9139760000007</v>
      </c>
      <c r="I42" s="159">
        <v>4598.0142352764597</v>
      </c>
      <c r="J42" s="279">
        <f t="shared" si="3"/>
        <v>0.31525382685116132</v>
      </c>
      <c r="K42" s="9"/>
      <c r="Q42" s="146" t="s">
        <v>5</v>
      </c>
      <c r="R42" s="147">
        <f>E44</f>
        <v>64.591389000000007</v>
      </c>
      <c r="S42" s="147">
        <f>F44</f>
        <v>62.391470147499973</v>
      </c>
    </row>
    <row r="43" spans="2:19" s="1" customFormat="1">
      <c r="B43" s="8"/>
      <c r="C43" s="157" t="s">
        <v>67</v>
      </c>
      <c r="D43" s="132"/>
      <c r="E43" s="158">
        <v>142.07520899999997</v>
      </c>
      <c r="F43" s="159">
        <f>D14</f>
        <v>161.22832990250006</v>
      </c>
      <c r="G43" s="279">
        <f t="shared" si="2"/>
        <v>0.13480973237561877</v>
      </c>
      <c r="H43" s="238">
        <v>511.50750899999997</v>
      </c>
      <c r="I43" s="159">
        <v>570.50124907500015</v>
      </c>
      <c r="J43" s="279">
        <f t="shared" si="3"/>
        <v>0.11533308707497425</v>
      </c>
      <c r="K43" s="9"/>
    </row>
    <row r="44" spans="2:19" s="1" customFormat="1">
      <c r="B44" s="8"/>
      <c r="C44" s="157" t="s">
        <v>5</v>
      </c>
      <c r="D44" s="132"/>
      <c r="E44" s="158">
        <v>64.591389000000007</v>
      </c>
      <c r="F44" s="159">
        <f>D15</f>
        <v>62.391470147499973</v>
      </c>
      <c r="G44" s="93">
        <f t="shared" si="2"/>
        <v>-3.4059011372243986E-2</v>
      </c>
      <c r="H44" s="238">
        <v>236.73297099999999</v>
      </c>
      <c r="I44" s="159">
        <v>262.87266642499998</v>
      </c>
      <c r="J44" s="160">
        <f t="shared" si="3"/>
        <v>0.11041848253997544</v>
      </c>
      <c r="K44" s="9"/>
      <c r="Q44" s="146"/>
      <c r="R44" s="146"/>
      <c r="S44" s="146"/>
    </row>
    <row r="45" spans="2:19" s="1" customFormat="1">
      <c r="B45" s="8"/>
      <c r="C45" s="364" t="s">
        <v>64</v>
      </c>
      <c r="D45" s="365"/>
      <c r="E45" s="191">
        <f>SUM(E46:E47)</f>
        <v>157.75584641239038</v>
      </c>
      <c r="F45" s="192">
        <f>SUM(F46:F47)</f>
        <v>178.30187868892398</v>
      </c>
      <c r="G45" s="193">
        <f t="shared" si="2"/>
        <v>0.13023943482147793</v>
      </c>
      <c r="H45" s="237">
        <f>SUM(H46:H47)</f>
        <v>789.75484940039007</v>
      </c>
      <c r="I45" s="192">
        <f>SUM(I46:I47)</f>
        <v>707.7735927382131</v>
      </c>
      <c r="J45" s="193">
        <f t="shared" si="3"/>
        <v>-0.10380595538529458</v>
      </c>
      <c r="K45" s="9"/>
    </row>
    <row r="46" spans="2:19" s="1" customFormat="1">
      <c r="B46" s="8"/>
      <c r="C46" s="157" t="s">
        <v>66</v>
      </c>
      <c r="D46" s="132"/>
      <c r="E46" s="158">
        <v>47.919248542079991</v>
      </c>
      <c r="F46" s="159">
        <f>E12</f>
        <v>55.843469242743971</v>
      </c>
      <c r="G46" s="160">
        <f t="shared" si="2"/>
        <v>0.16536613034958947</v>
      </c>
      <c r="H46" s="238">
        <v>236.37033438208002</v>
      </c>
      <c r="I46" s="159">
        <v>248.04155026376995</v>
      </c>
      <c r="J46" s="160">
        <f t="shared" si="3"/>
        <v>4.9376821808882365E-2</v>
      </c>
      <c r="K46" s="9"/>
    </row>
    <row r="47" spans="2:19" s="1" customFormat="1" ht="13.8" thickBot="1">
      <c r="B47" s="8"/>
      <c r="C47" s="161" t="s">
        <v>65</v>
      </c>
      <c r="D47" s="132"/>
      <c r="E47" s="162">
        <v>109.83659787031038</v>
      </c>
      <c r="F47" s="163">
        <f>E13</f>
        <v>122.45840944618</v>
      </c>
      <c r="G47" s="303">
        <f t="shared" si="2"/>
        <v>0.11491444400684037</v>
      </c>
      <c r="H47" s="239">
        <v>553.38451501831003</v>
      </c>
      <c r="I47" s="163">
        <v>459.73204247444312</v>
      </c>
      <c r="J47" s="164">
        <f t="shared" si="3"/>
        <v>-0.16923580259698479</v>
      </c>
      <c r="K47" s="9"/>
    </row>
    <row r="48" spans="2:19" s="1" customFormat="1" ht="14.4" thickTop="1" thickBot="1">
      <c r="B48" s="8"/>
      <c r="C48" s="366" t="s">
        <v>108</v>
      </c>
      <c r="D48" s="367"/>
      <c r="E48" s="194">
        <f>SUM(E40,E45)</f>
        <v>3322.3267419121794</v>
      </c>
      <c r="F48" s="195">
        <f>SUM(F40,F45)</f>
        <v>4652.06180969669</v>
      </c>
      <c r="G48" s="196">
        <f t="shared" si="2"/>
        <v>0.40024211075012328</v>
      </c>
      <c r="H48" s="240">
        <f>SUM(H40,H45)</f>
        <v>17342.920756858373</v>
      </c>
      <c r="I48" s="195">
        <f>SUM(I40,I45)</f>
        <v>18898.14017790672</v>
      </c>
      <c r="J48" s="196">
        <f t="shared" si="3"/>
        <v>8.96745965026291E-2</v>
      </c>
      <c r="K48" s="9"/>
    </row>
    <row r="49" spans="2:23" s="1" customFormat="1">
      <c r="B49" s="8"/>
      <c r="C49" s="265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0"/>
    </row>
    <row r="53" spans="2:23" s="1" customFormat="1" ht="13.8" thickBot="1">
      <c r="B53" s="8"/>
      <c r="C53" s="10"/>
      <c r="H53" s="9"/>
      <c r="I53" s="9"/>
      <c r="J53" s="9"/>
      <c r="K53" s="9"/>
      <c r="L53" s="260"/>
      <c r="M53" s="260"/>
    </row>
    <row r="54" spans="2:23" s="1" customFormat="1" ht="12.75" customHeight="1">
      <c r="B54" s="8"/>
      <c r="C54" s="149"/>
      <c r="D54" s="150"/>
      <c r="E54" s="373" t="s">
        <v>126</v>
      </c>
      <c r="F54" s="374"/>
      <c r="G54" s="370" t="s">
        <v>74</v>
      </c>
      <c r="H54" s="375" t="s">
        <v>127</v>
      </c>
      <c r="I54" s="376"/>
      <c r="J54" s="370" t="s">
        <v>74</v>
      </c>
      <c r="K54" s="9"/>
      <c r="L54" s="260"/>
      <c r="M54" s="260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71"/>
      <c r="H55" s="241">
        <v>2020</v>
      </c>
      <c r="I55" s="94">
        <v>2021</v>
      </c>
      <c r="J55" s="371"/>
      <c r="K55" s="9"/>
      <c r="L55" s="260"/>
      <c r="M55" s="260"/>
    </row>
    <row r="56" spans="2:23" s="1" customFormat="1">
      <c r="B56" s="8"/>
      <c r="C56" s="364" t="s">
        <v>68</v>
      </c>
      <c r="D56" s="365"/>
      <c r="E56" s="191">
        <f>SUM(E57:E60)</f>
        <v>3164.5708954997885</v>
      </c>
      <c r="F56" s="192">
        <f>SUM(F57:F60)</f>
        <v>4473.7599310077658</v>
      </c>
      <c r="G56" s="193">
        <f>((F56/E56)-1)</f>
        <v>0.41370191370012388</v>
      </c>
      <c r="H56" s="237">
        <f>SUM(H57:H60)</f>
        <v>16553.16590745798</v>
      </c>
      <c r="I56" s="192">
        <f>SUM(I57:I60)</f>
        <v>18190.366585168507</v>
      </c>
      <c r="J56" s="193">
        <f>((I56/H56)-1)</f>
        <v>9.8905592251261831E-2</v>
      </c>
      <c r="K56" s="9"/>
    </row>
    <row r="57" spans="2:23" s="1" customFormat="1" ht="26.4">
      <c r="B57" s="8"/>
      <c r="C57" s="378" t="s">
        <v>78</v>
      </c>
      <c r="D57" s="281" t="s">
        <v>79</v>
      </c>
      <c r="E57" s="327">
        <f>SUM(E43:E44)+18.044073</f>
        <v>224.71067099999996</v>
      </c>
      <c r="F57" s="328">
        <f>SUM(F43:F44)+22.5907047479446</f>
        <v>246.21050479794462</v>
      </c>
      <c r="G57" s="171">
        <f t="shared" ref="G57:G65" si="4">((F57/E57)-1)</f>
        <v>9.5677849664489889E-2</v>
      </c>
      <c r="H57" s="329">
        <f>SUM(H43:H44)+87.319997</f>
        <v>835.56047699999999</v>
      </c>
      <c r="I57" s="328">
        <f>SUM(I43:I44)+99.2815717129446</f>
        <v>932.65548721294465</v>
      </c>
      <c r="J57" s="171">
        <f t="shared" ref="J57:J65" si="5">((I57/H57)-1)</f>
        <v>0.11620345012195288</v>
      </c>
      <c r="K57" s="9"/>
      <c r="L57" s="260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79"/>
      <c r="D58" s="282" t="s">
        <v>110</v>
      </c>
      <c r="E58" s="270">
        <v>231.87376954000001</v>
      </c>
      <c r="F58" s="332">
        <v>241.65785923999962</v>
      </c>
      <c r="G58" s="280">
        <f t="shared" si="4"/>
        <v>4.2195759008919698E-2</v>
      </c>
      <c r="H58" s="272">
        <v>921.60277125250025</v>
      </c>
      <c r="I58" s="271">
        <v>982.29986902749954</v>
      </c>
      <c r="J58" s="280">
        <f t="shared" si="5"/>
        <v>6.5860368119888824E-2</v>
      </c>
      <c r="K58" s="9"/>
      <c r="L58" s="260"/>
      <c r="M58" s="260"/>
      <c r="Q58" s="372" t="s">
        <v>80</v>
      </c>
      <c r="R58" s="146" t="s">
        <v>66</v>
      </c>
      <c r="T58" s="147">
        <f>SUM(E60,E64)</f>
        <v>2592.2061275018687</v>
      </c>
      <c r="U58" s="147">
        <f>SUM(F60,F64)</f>
        <v>3028.0696569542702</v>
      </c>
      <c r="V58" s="148">
        <f t="shared" ref="V58:W61" si="6">T58/T$64</f>
        <v>0.78023816706538429</v>
      </c>
      <c r="W58" s="148">
        <f t="shared" si="6"/>
        <v>0.65090916260884724</v>
      </c>
    </row>
    <row r="59" spans="2:23" s="1" customFormat="1">
      <c r="B59" s="8"/>
      <c r="C59" s="377" t="s">
        <v>80</v>
      </c>
      <c r="D59" s="283" t="s">
        <v>81</v>
      </c>
      <c r="E59" s="158">
        <f>SUM(E42:E44)-E57</f>
        <v>163.69957600000001</v>
      </c>
      <c r="F59" s="159">
        <f>SUM(F42:F44)-F57</f>
        <v>1013.6653792582954</v>
      </c>
      <c r="G59" s="279">
        <f t="shared" si="4"/>
        <v>5.1922297175546461</v>
      </c>
      <c r="H59" s="238">
        <f>SUM(H42:H44)-H57</f>
        <v>3408.5939790000011</v>
      </c>
      <c r="I59" s="159">
        <f>SUM(I42:I44)-I57</f>
        <v>4498.7326635635154</v>
      </c>
      <c r="J59" s="279">
        <f t="shared" si="5"/>
        <v>0.31982063316421594</v>
      </c>
      <c r="K59" s="9"/>
      <c r="Q59" s="372"/>
      <c r="R59" s="146" t="s">
        <v>65</v>
      </c>
      <c r="T59" s="147">
        <f>SUM(E59,E63)</f>
        <v>259.6269938703104</v>
      </c>
      <c r="U59" s="147">
        <f>SUM(F59,F63)</f>
        <v>1117.7550272875483</v>
      </c>
      <c r="V59" s="148">
        <f t="shared" si="6"/>
        <v>7.8146134934603401E-2</v>
      </c>
      <c r="W59" s="148">
        <f t="shared" si="6"/>
        <v>0.24027088912656236</v>
      </c>
    </row>
    <row r="60" spans="2:23" s="1" customFormat="1">
      <c r="B60" s="8"/>
      <c r="C60" s="377"/>
      <c r="D60" s="284" t="s">
        <v>41</v>
      </c>
      <c r="E60" s="158">
        <f>E41-E58</f>
        <v>2544.2868789597887</v>
      </c>
      <c r="F60" s="159">
        <f>F41-F58</f>
        <v>2972.2261877115261</v>
      </c>
      <c r="G60" s="160">
        <f t="shared" si="4"/>
        <v>0.16819617012948518</v>
      </c>
      <c r="H60" s="238">
        <f>H41-H58</f>
        <v>11387.408680205481</v>
      </c>
      <c r="I60" s="159">
        <f>I41-I58</f>
        <v>11776.678565364547</v>
      </c>
      <c r="J60" s="279">
        <f t="shared" si="5"/>
        <v>3.4184237704204534E-2</v>
      </c>
      <c r="K60" s="9"/>
      <c r="Q60" s="372" t="s">
        <v>78</v>
      </c>
      <c r="R60" s="146" t="s">
        <v>66</v>
      </c>
      <c r="T60" s="147">
        <f>E58</f>
        <v>231.87376954000001</v>
      </c>
      <c r="U60" s="147">
        <f>F58</f>
        <v>241.65785923999962</v>
      </c>
      <c r="V60" s="148">
        <f t="shared" si="6"/>
        <v>6.9792584400215893E-2</v>
      </c>
      <c r="W60" s="148">
        <f t="shared" si="6"/>
        <v>5.1946399064666672E-2</v>
      </c>
    </row>
    <row r="61" spans="2:23" s="1" customFormat="1">
      <c r="B61" s="8"/>
      <c r="C61" s="364" t="s">
        <v>64</v>
      </c>
      <c r="D61" s="365"/>
      <c r="E61" s="191">
        <f>SUM(E62:E64)</f>
        <v>157.75584641239038</v>
      </c>
      <c r="F61" s="192">
        <f>SUM(F62:F64)</f>
        <v>178.30187868892398</v>
      </c>
      <c r="G61" s="193">
        <f t="shared" si="4"/>
        <v>0.13023943482147793</v>
      </c>
      <c r="H61" s="237">
        <f>SUM(H62:H64)</f>
        <v>789.75484940039007</v>
      </c>
      <c r="I61" s="192">
        <f>SUM(I62:I64)</f>
        <v>707.7735927382131</v>
      </c>
      <c r="J61" s="193">
        <f t="shared" si="5"/>
        <v>-0.10380595538529458</v>
      </c>
      <c r="K61" s="9"/>
      <c r="Q61" s="372"/>
      <c r="R61" s="146" t="s">
        <v>89</v>
      </c>
      <c r="T61" s="147">
        <f>E57+E62</f>
        <v>238.61985099999995</v>
      </c>
      <c r="U61" s="147">
        <f>F57+F62</f>
        <v>264.57926621487161</v>
      </c>
      <c r="V61" s="148">
        <f t="shared" si="6"/>
        <v>7.1823113599796415E-2</v>
      </c>
      <c r="W61" s="148">
        <f t="shared" si="6"/>
        <v>5.6873549199923885E-2</v>
      </c>
    </row>
    <row r="62" spans="2:23" s="1" customFormat="1">
      <c r="B62" s="8"/>
      <c r="C62" s="315" t="s">
        <v>78</v>
      </c>
      <c r="D62" s="316" t="s">
        <v>114</v>
      </c>
      <c r="E62" s="356">
        <v>13.909180000000001</v>
      </c>
      <c r="F62" s="330">
        <v>18.368761416926997</v>
      </c>
      <c r="G62" s="317">
        <f t="shared" si="4"/>
        <v>0.32062144690966665</v>
      </c>
      <c r="H62" s="331">
        <v>64.623090999999988</v>
      </c>
      <c r="I62" s="330">
        <v>69.275732416926999</v>
      </c>
      <c r="J62" s="317">
        <f t="shared" si="5"/>
        <v>7.1996578079606355E-2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80" t="s">
        <v>80</v>
      </c>
      <c r="D63" s="283" t="s">
        <v>81</v>
      </c>
      <c r="E63" s="158">
        <f>E47-E62</f>
        <v>95.927417870310379</v>
      </c>
      <c r="F63" s="159">
        <f>F47-F62</f>
        <v>104.089648029253</v>
      </c>
      <c r="G63" s="279">
        <f t="shared" ref="G63" si="7">((F63/E63)-1)</f>
        <v>8.5087562452453414E-2</v>
      </c>
      <c r="H63" s="238">
        <f>H47-H62</f>
        <v>488.76142401831004</v>
      </c>
      <c r="I63" s="159">
        <f>I47-I62</f>
        <v>390.45631005751613</v>
      </c>
      <c r="J63" s="337">
        <f t="shared" ref="J63" si="8">((I63/H63)-1)</f>
        <v>-0.20113108181203598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81"/>
      <c r="D64" s="285" t="s">
        <v>41</v>
      </c>
      <c r="E64" s="162">
        <f>E46</f>
        <v>47.919248542079991</v>
      </c>
      <c r="F64" s="163">
        <f>F46</f>
        <v>55.843469242743971</v>
      </c>
      <c r="G64" s="164">
        <f t="shared" si="4"/>
        <v>0.16536613034958947</v>
      </c>
      <c r="H64" s="239">
        <f>H46</f>
        <v>236.37033438208002</v>
      </c>
      <c r="I64" s="163">
        <f>I46</f>
        <v>248.04155026376995</v>
      </c>
      <c r="J64" s="164">
        <f t="shared" si="5"/>
        <v>4.9376821808882365E-2</v>
      </c>
      <c r="K64" s="9"/>
      <c r="Q64" s="146"/>
      <c r="R64" s="146"/>
      <c r="T64" s="147">
        <f>SUM(T58:T61)</f>
        <v>3322.3267419121789</v>
      </c>
      <c r="U64" s="147">
        <f>SUM(U58:U61)</f>
        <v>4652.0618096966891</v>
      </c>
      <c r="V64" s="146"/>
      <c r="W64" s="146"/>
    </row>
    <row r="65" spans="2:22" s="1" customFormat="1" ht="14.4" thickTop="1" thickBot="1">
      <c r="B65" s="8"/>
      <c r="C65" s="366" t="s">
        <v>108</v>
      </c>
      <c r="D65" s="367"/>
      <c r="E65" s="194">
        <f>SUM(E56,E61)</f>
        <v>3322.3267419121789</v>
      </c>
      <c r="F65" s="195">
        <f>SUM(F56,F61)</f>
        <v>4652.06180969669</v>
      </c>
      <c r="G65" s="196">
        <f t="shared" si="4"/>
        <v>0.4002421107501235</v>
      </c>
      <c r="H65" s="240">
        <f>SUM(H56,H61)</f>
        <v>17342.92075685837</v>
      </c>
      <c r="I65" s="195">
        <f>SUM(I56,I61)</f>
        <v>18898.14017790672</v>
      </c>
      <c r="J65" s="196">
        <f t="shared" si="5"/>
        <v>8.9674596502629322E-2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5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zoomScale="120" zoomScaleNormal="100" zoomScaleSheetLayoutView="120" workbookViewId="0">
      <selection activeCell="C3" sqref="C3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3269.7275161942698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1054.4301890417023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63.078230242342215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40.959466164871571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161.22832990250006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62.391470147499973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6">
        <f t="shared" si="0"/>
        <v>0.24660800350359161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4652.0618096966891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1"/>
      <c r="G23" s="26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5" t="s">
        <v>61</v>
      </c>
      <c r="D26" s="384" t="s">
        <v>126</v>
      </c>
      <c r="E26" s="384"/>
      <c r="F26" s="385" t="s">
        <v>74</v>
      </c>
      <c r="G26" s="387" t="s">
        <v>127</v>
      </c>
      <c r="H26" s="388"/>
      <c r="I26" s="385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6"/>
      <c r="D27" s="96">
        <v>2020</v>
      </c>
      <c r="E27" s="97">
        <v>2021</v>
      </c>
      <c r="F27" s="386"/>
      <c r="G27" s="242">
        <v>2020</v>
      </c>
      <c r="H27" s="97">
        <v>2021</v>
      </c>
      <c r="I27" s="386"/>
      <c r="J27" s="20"/>
      <c r="K27" s="54"/>
      <c r="L27" s="54"/>
      <c r="M27" s="55" t="s">
        <v>85</v>
      </c>
      <c r="N27" s="70">
        <f t="shared" ref="N27:O29" si="1">D28</f>
        <v>2824.0798970418687</v>
      </c>
      <c r="O27" s="70">
        <f t="shared" si="1"/>
        <v>3269.7275161942698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2824.0798970418687</v>
      </c>
      <c r="E28" s="170">
        <f>'Resumen (G)'!F41+'Resumen (G)'!F46</f>
        <v>3269.7275161942698</v>
      </c>
      <c r="F28" s="171">
        <f>+E28/D28-1</f>
        <v>0.15780276599794596</v>
      </c>
      <c r="G28" s="255">
        <f>'Resumen (G)'!H41+'Resumen (G)'!H46</f>
        <v>12545.381785840062</v>
      </c>
      <c r="H28" s="170">
        <f>'Resumen (G)'!I41+'Resumen (G)'!I46</f>
        <v>13007.019984655817</v>
      </c>
      <c r="I28" s="363">
        <f>+H28/G28-1</f>
        <v>3.6797461145168686E-2</v>
      </c>
      <c r="J28" s="304"/>
      <c r="K28" s="54"/>
      <c r="L28" s="54"/>
      <c r="M28" s="55" t="s">
        <v>2</v>
      </c>
      <c r="N28" s="70">
        <f t="shared" si="1"/>
        <v>185.91804300000001</v>
      </c>
      <c r="O28" s="70">
        <f t="shared" si="1"/>
        <v>1054.4301890417023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185.91804300000001</v>
      </c>
      <c r="E29" s="174">
        <v>1054.4301890417023</v>
      </c>
      <c r="F29" s="175">
        <f t="shared" ref="F29:F35" si="2">+E29/D29-1</f>
        <v>4.6714785290726315</v>
      </c>
      <c r="G29" s="256">
        <v>3505.7538500000001</v>
      </c>
      <c r="H29" s="174">
        <v>4592.9564304269024</v>
      </c>
      <c r="I29" s="175">
        <f t="shared" ref="I29:I35" si="3">+H29/G29-1</f>
        <v>0.31011948554999158</v>
      </c>
      <c r="J29" s="262"/>
      <c r="K29" s="263"/>
      <c r="L29" s="54"/>
      <c r="M29" s="55" t="s">
        <v>84</v>
      </c>
      <c r="N29" s="70">
        <f t="shared" si="1"/>
        <v>73.433950870309673</v>
      </c>
      <c r="O29" s="70">
        <f t="shared" si="1"/>
        <v>63.078230242342215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73.433950870309673</v>
      </c>
      <c r="E30" s="174">
        <f>'Resumen (G)'!F32-SUM('TipoRecurso (G)'!E28:E29,'TipoRecurso (G)'!E31:E34)</f>
        <v>63.078230242342215</v>
      </c>
      <c r="F30" s="175">
        <f t="shared" si="2"/>
        <v>-0.14102088346378783</v>
      </c>
      <c r="G30" s="256">
        <f>'Resumen (G)'!H32-SUM('TipoRecurso (G)'!G28:G29,'TipoRecurso (G)'!G31:G34)</f>
        <v>390.97855301830714</v>
      </c>
      <c r="H30" s="174">
        <f>'Resumen (G)'!I32-SUM('TipoRecurso (G)'!H28:H29,'TipoRecurso (G)'!H31:H34)</f>
        <v>295.30548619062392</v>
      </c>
      <c r="I30" s="175">
        <f t="shared" si="3"/>
        <v>-0.24470157273103277</v>
      </c>
      <c r="J30" s="304"/>
      <c r="K30" s="54"/>
      <c r="L30" s="54"/>
      <c r="M30" s="55" t="s">
        <v>4</v>
      </c>
      <c r="N30" s="100">
        <f>D34</f>
        <v>0.27500000000000002</v>
      </c>
      <c r="O30" s="100">
        <f>E34</f>
        <v>0.24660800350359161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31.953252999999989</v>
      </c>
      <c r="E31" s="174">
        <f>'Resumen (G)'!F57+'Resumen (G)'!F62-SUM('TipoRecurso (G)'!E32:E33)</f>
        <v>40.959466164871571</v>
      </c>
      <c r="F31" s="175">
        <f t="shared" si="2"/>
        <v>0.28185590884507383</v>
      </c>
      <c r="G31" s="256">
        <f>'Resumen (G)'!H57+'Resumen (G)'!H62-SUM('TipoRecurso (G)'!G32:G33)</f>
        <v>151.94308799999999</v>
      </c>
      <c r="H31" s="174">
        <f>'Resumen (G)'!I57+'Resumen (G)'!I62-SUM('TipoRecurso (G)'!H32:H33)</f>
        <v>168.55730412987157</v>
      </c>
      <c r="I31" s="175">
        <f t="shared" si="3"/>
        <v>0.10934499455395819</v>
      </c>
      <c r="J31" s="20"/>
      <c r="K31" s="54"/>
      <c r="L31" s="54"/>
      <c r="M31" s="55" t="s">
        <v>90</v>
      </c>
      <c r="N31" s="70">
        <f t="shared" ref="N31:O33" si="4">D31</f>
        <v>31.953252999999989</v>
      </c>
      <c r="O31" s="70">
        <f t="shared" si="4"/>
        <v>40.959466164871571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142.07520899999997</v>
      </c>
      <c r="E32" s="174">
        <f>'Resumen (G)'!F43</f>
        <v>161.22832990250006</v>
      </c>
      <c r="F32" s="175">
        <f t="shared" si="2"/>
        <v>0.13480973237561877</v>
      </c>
      <c r="G32" s="256">
        <f>'Resumen (G)'!H43</f>
        <v>511.50750899999997</v>
      </c>
      <c r="H32" s="174">
        <f>'Resumen (G)'!I43</f>
        <v>570.50124907500015</v>
      </c>
      <c r="I32" s="175">
        <f t="shared" si="3"/>
        <v>0.11533308707497425</v>
      </c>
      <c r="J32" s="20"/>
      <c r="K32" s="54"/>
      <c r="L32" s="54"/>
      <c r="M32" s="55" t="s">
        <v>14</v>
      </c>
      <c r="N32" s="70">
        <f t="shared" si="4"/>
        <v>142.07520899999997</v>
      </c>
      <c r="O32" s="70">
        <f t="shared" si="4"/>
        <v>161.22832990250006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64.591389000000007</v>
      </c>
      <c r="E33" s="174">
        <f>'Resumen (G)'!F44</f>
        <v>62.391470147499973</v>
      </c>
      <c r="F33" s="175">
        <f t="shared" si="2"/>
        <v>-3.4059011372243986E-2</v>
      </c>
      <c r="G33" s="256">
        <f>'Resumen (G)'!H44</f>
        <v>236.73297099999999</v>
      </c>
      <c r="H33" s="174">
        <f>'Resumen (G)'!I44</f>
        <v>262.87266642499998</v>
      </c>
      <c r="I33" s="175">
        <f t="shared" si="3"/>
        <v>0.11041848253997544</v>
      </c>
      <c r="J33" s="20"/>
      <c r="K33" s="54"/>
      <c r="L33" s="54"/>
      <c r="M33" s="55" t="s">
        <v>5</v>
      </c>
      <c r="N33" s="70">
        <f t="shared" si="4"/>
        <v>64.591389000000007</v>
      </c>
      <c r="O33" s="70">
        <f t="shared" si="4"/>
        <v>62.391470147499973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57">
        <v>0.27500000000000002</v>
      </c>
      <c r="E34" s="358">
        <v>0.24660800350359161</v>
      </c>
      <c r="F34" s="177">
        <f t="shared" si="2"/>
        <v>-0.1032436236233033</v>
      </c>
      <c r="G34" s="359">
        <v>0.623</v>
      </c>
      <c r="H34" s="358">
        <v>0.92705700350359155</v>
      </c>
      <c r="I34" s="177">
        <f t="shared" si="3"/>
        <v>0.4880529751261502</v>
      </c>
      <c r="J34" s="20"/>
      <c r="K34" s="54"/>
      <c r="L34" s="54"/>
      <c r="M34" s="98"/>
      <c r="N34" s="99">
        <f>SUM(N27:N33)</f>
        <v>3322.3267419121789</v>
      </c>
      <c r="O34" s="99">
        <f>SUM(O27:O33)</f>
        <v>4652.0618096966891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7" t="s">
        <v>108</v>
      </c>
      <c r="D35" s="308">
        <f>SUM(D28:D34)</f>
        <v>3322.3267419121789</v>
      </c>
      <c r="E35" s="309">
        <f>SUM(E28:E34)</f>
        <v>4652.0618096966891</v>
      </c>
      <c r="F35" s="310">
        <f t="shared" si="2"/>
        <v>0.40024211075012306</v>
      </c>
      <c r="G35" s="311">
        <f>SUM(G28:G34)</f>
        <v>17342.92075685837</v>
      </c>
      <c r="H35" s="309">
        <f>SUM(H28:H34)</f>
        <v>18898.140177906716</v>
      </c>
      <c r="I35" s="312">
        <f t="shared" si="3"/>
        <v>8.96745965026291E-2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1"/>
      <c r="N39" s="23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1">
        <f t="shared" ref="M40:N46" si="5">N27/N$34</f>
        <v>0.85003075146560025</v>
      </c>
      <c r="N40" s="231">
        <f t="shared" si="5"/>
        <v>0.70285556167351382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1">
        <f t="shared" si="5"/>
        <v>5.5960192191389972E-2</v>
      </c>
      <c r="N41" s="231">
        <f t="shared" si="5"/>
        <v>0.22665867999515044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1">
        <f t="shared" si="5"/>
        <v>2.2103169427593522E-2</v>
      </c>
      <c r="N42" s="231">
        <f t="shared" si="5"/>
        <v>1.3559198657004702E-2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1">
        <f t="shared" si="5"/>
        <v>8.2773315619680024E-5</v>
      </c>
      <c r="N43" s="231">
        <f t="shared" si="5"/>
        <v>5.3010474407189845E-5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1">
        <f t="shared" si="5"/>
        <v>9.6177334387072249E-3</v>
      </c>
      <c r="N44" s="231">
        <f t="shared" si="5"/>
        <v>8.8045833955809148E-3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1">
        <f t="shared" si="5"/>
        <v>4.2763767695596366E-2</v>
      </c>
      <c r="N45" s="231">
        <f t="shared" si="5"/>
        <v>3.4657392033450224E-2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1">
        <f t="shared" si="5"/>
        <v>1.9441612465492832E-2</v>
      </c>
      <c r="N46" s="231">
        <f t="shared" si="5"/>
        <v>1.341157377089275E-2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1">
        <f>N34/N$34</f>
        <v>1</v>
      </c>
      <c r="N47" s="23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2">
        <f>SUM(M39:M46)</f>
        <v>0.99999999999999978</v>
      </c>
      <c r="N49" s="232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2" t="s">
        <v>91</v>
      </c>
      <c r="D53" s="384" t="s">
        <v>126</v>
      </c>
      <c r="E53" s="384"/>
      <c r="F53" s="385" t="s">
        <v>74</v>
      </c>
      <c r="G53" s="387" t="s">
        <v>127</v>
      </c>
      <c r="H53" s="388"/>
      <c r="I53" s="385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3"/>
      <c r="D54" s="96">
        <v>2020</v>
      </c>
      <c r="E54" s="97">
        <v>2021</v>
      </c>
      <c r="F54" s="386"/>
      <c r="G54" s="242">
        <v>2020</v>
      </c>
      <c r="H54" s="97">
        <v>2021</v>
      </c>
      <c r="I54" s="386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0" t="s">
        <v>42</v>
      </c>
      <c r="D55" s="291">
        <f>SUM(D28:D30,D34)</f>
        <v>3083.7068909121786</v>
      </c>
      <c r="E55" s="292">
        <f>SUM(E28:E30,E34)</f>
        <v>4387.4825434818176</v>
      </c>
      <c r="F55" s="293">
        <f>+E55/D55-1</f>
        <v>0.42279493437327775</v>
      </c>
      <c r="G55" s="294">
        <f>SUM(G28:G30,G34)</f>
        <v>16442.737188858369</v>
      </c>
      <c r="H55" s="292">
        <f>SUM(H28:H30,H34)</f>
        <v>17896.208958276846</v>
      </c>
      <c r="I55" s="293">
        <f>+H55/G55-1</f>
        <v>8.8395974023312451E-2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5" t="s">
        <v>104</v>
      </c>
      <c r="D56" s="296">
        <f>SUM(D31:D33)</f>
        <v>238.61985099999998</v>
      </c>
      <c r="E56" s="297">
        <f>SUM(E31:E33)</f>
        <v>264.57926621487161</v>
      </c>
      <c r="F56" s="298">
        <f>+E56/D56-1</f>
        <v>0.10878983917759477</v>
      </c>
      <c r="G56" s="299">
        <f>SUM(G31:G33)</f>
        <v>900.18356800000004</v>
      </c>
      <c r="H56" s="297">
        <f>SUM(H31:H33)</f>
        <v>1001.9312196298717</v>
      </c>
      <c r="I56" s="300">
        <f>+H56/G56-1</f>
        <v>0.11302989217624959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3322.3267419121785</v>
      </c>
      <c r="E57" s="102">
        <f>SUM(E55:E56)</f>
        <v>4652.0618096966891</v>
      </c>
      <c r="F57" s="103">
        <f>+E57/D57-1</f>
        <v>0.40024211075012328</v>
      </c>
      <c r="G57" s="257">
        <f>SUM(G55:G56)</f>
        <v>17342.92075685837</v>
      </c>
      <c r="H57" s="102">
        <f>SUM(H55:H56)</f>
        <v>18898.140177906716</v>
      </c>
      <c r="I57" s="103">
        <f>+H57/G57-1</f>
        <v>8.96745965026291E-2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7.1823113599796443E-2</v>
      </c>
      <c r="E58" s="105">
        <f>+E56/E57</f>
        <v>5.6873549199923885E-2</v>
      </c>
      <c r="F58" s="106"/>
      <c r="G58" s="258">
        <f>+G56/G57</f>
        <v>5.1904957683902041E-2</v>
      </c>
      <c r="H58" s="105">
        <f>+H56/H57</f>
        <v>5.3017450934203639E-2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6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3083.7068909121786</v>
      </c>
      <c r="N63" s="76">
        <f>E55</f>
        <v>4387.4825434818176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238.61985099999998</v>
      </c>
      <c r="N64" s="76">
        <f>E56</f>
        <v>264.57926621487161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6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2"/>
      <c r="D76" s="384" t="s">
        <v>126</v>
      </c>
      <c r="E76" s="384"/>
      <c r="F76" s="107" t="s">
        <v>74</v>
      </c>
      <c r="G76" s="387" t="s">
        <v>127</v>
      </c>
      <c r="H76" s="388"/>
      <c r="I76" s="229" t="s">
        <v>74</v>
      </c>
      <c r="J76" s="19"/>
      <c r="K76" s="57"/>
      <c r="L76" s="57"/>
      <c r="M76" s="55" t="s">
        <v>96</v>
      </c>
      <c r="N76" s="70">
        <f>D78</f>
        <v>3.5986377725000001</v>
      </c>
      <c r="O76" s="70">
        <f>E78</f>
        <v>1.9062896025000002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4">
        <v>2021</v>
      </c>
      <c r="F77" s="108"/>
      <c r="G77" s="352">
        <v>2020</v>
      </c>
      <c r="H77" s="97">
        <v>2021</v>
      </c>
      <c r="I77" s="230"/>
      <c r="J77" s="19"/>
      <c r="K77" s="57"/>
      <c r="L77" s="57"/>
      <c r="M77" s="55" t="s">
        <v>97</v>
      </c>
      <c r="N77" s="70">
        <f>D79</f>
        <v>3160.9722577272892</v>
      </c>
      <c r="O77" s="70">
        <f>E79</f>
        <v>4471.853641405266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158">
        <v>3.5986377725000001</v>
      </c>
      <c r="E78" s="335">
        <v>1.9062896025000002</v>
      </c>
      <c r="F78" s="160">
        <f>((E78/D78)-1)</f>
        <v>-0.47027466418891983</v>
      </c>
      <c r="G78" s="238">
        <v>14.542523505000004</v>
      </c>
      <c r="H78" s="335">
        <v>5.1403558650000001</v>
      </c>
      <c r="I78" s="160">
        <f>((H78/G78)-1)</f>
        <v>-0.64652930674427678</v>
      </c>
      <c r="J78" s="19"/>
      <c r="K78" s="261"/>
      <c r="L78" s="57"/>
    </row>
    <row r="79" spans="2:28" ht="16.5" customHeight="1" thickBot="1">
      <c r="C79" s="301" t="s">
        <v>97</v>
      </c>
      <c r="D79" s="162">
        <f>'Resumen (G)'!E40-D78</f>
        <v>3160.9722577272892</v>
      </c>
      <c r="E79" s="333">
        <f>'Resumen (G)'!F40-E78</f>
        <v>4471.853641405266</v>
      </c>
      <c r="F79" s="164">
        <f>((E79/D79)-1)</f>
        <v>0.41470828491879552</v>
      </c>
      <c r="G79" s="239">
        <f>'Resumen (G)'!H40-G78</f>
        <v>16538.623383952985</v>
      </c>
      <c r="H79" s="333">
        <f>'Resumen (G)'!I40-H78</f>
        <v>18185.226229303506</v>
      </c>
      <c r="I79" s="164">
        <f>((H79/G79)-1)</f>
        <v>9.9561058204407749E-2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3">
        <f>SUM(D78:D79)</f>
        <v>3164.570895499789</v>
      </c>
      <c r="E80" s="334">
        <f>SUM(E78:E79)</f>
        <v>4473.7599310077658</v>
      </c>
      <c r="F80" s="130"/>
      <c r="G80" s="259">
        <f>SUM(G78:G79)</f>
        <v>16553.165907457984</v>
      </c>
      <c r="H80" s="334">
        <f>SUM(H78:H79)</f>
        <v>18190.366585168507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Normal="100" zoomScaleSheetLayoutView="100" workbookViewId="0">
      <selection activeCell="C5" sqref="C5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396" t="s">
        <v>126</v>
      </c>
      <c r="E8" s="397"/>
      <c r="F8" s="385" t="s">
        <v>74</v>
      </c>
      <c r="G8" s="387" t="s">
        <v>127</v>
      </c>
      <c r="H8" s="388"/>
      <c r="I8" s="385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86"/>
      <c r="G9" s="242">
        <v>2020</v>
      </c>
      <c r="H9" s="97">
        <v>2021</v>
      </c>
      <c r="I9" s="386"/>
      <c r="J9" s="26"/>
    </row>
    <row r="10" spans="2:13">
      <c r="C10" s="197" t="s">
        <v>10</v>
      </c>
      <c r="D10" s="198">
        <f>'Por Región (G)'!O8</f>
        <v>267.78198027348907</v>
      </c>
      <c r="E10" s="199">
        <f>'Por Región (G)'!P8</f>
        <v>355.6945818787006</v>
      </c>
      <c r="F10" s="200">
        <f>+E10/D10-1</f>
        <v>0.32829916903081124</v>
      </c>
      <c r="G10" s="347">
        <f>'Por Región (G)'!Q8</f>
        <v>1168.1462670873577</v>
      </c>
      <c r="H10" s="199">
        <f>'Por Región (G)'!R8</f>
        <v>1293.7791923026825</v>
      </c>
      <c r="I10" s="200">
        <f>+H10/G10-1</f>
        <v>0.10754896775775902</v>
      </c>
      <c r="J10" s="26"/>
      <c r="L10" s="146" t="s">
        <v>9</v>
      </c>
      <c r="M10" s="235">
        <f>E11</f>
        <v>3634.7701994012068</v>
      </c>
    </row>
    <row r="11" spans="2:13">
      <c r="C11" s="201" t="s">
        <v>9</v>
      </c>
      <c r="D11" s="202">
        <f>'Por Región (G)'!O9</f>
        <v>2488.5589723982066</v>
      </c>
      <c r="E11" s="203">
        <f>'Por Región (G)'!P9</f>
        <v>3634.7701994012068</v>
      </c>
      <c r="F11" s="204">
        <f>+E11/D11-1</f>
        <v>0.46059235072030646</v>
      </c>
      <c r="G11" s="348">
        <f>'Por Región (G)'!Q9</f>
        <v>13576.735454615089</v>
      </c>
      <c r="H11" s="203">
        <f>'Por Región (G)'!R9</f>
        <v>14923.554981090572</v>
      </c>
      <c r="I11" s="204">
        <f>+H11/G11-1</f>
        <v>9.9200542794524615E-2</v>
      </c>
      <c r="J11" s="26"/>
      <c r="L11" s="146" t="s">
        <v>12</v>
      </c>
      <c r="M11" s="235">
        <f>E12</f>
        <v>626.19555498038596</v>
      </c>
    </row>
    <row r="12" spans="2:13">
      <c r="C12" s="201" t="s">
        <v>12</v>
      </c>
      <c r="D12" s="202">
        <f>'Por Región (G)'!O10</f>
        <v>528.67376863206255</v>
      </c>
      <c r="E12" s="203">
        <f>'Por Región (G)'!P10</f>
        <v>626.19555498038596</v>
      </c>
      <c r="F12" s="204">
        <f>+E12/D12-1</f>
        <v>0.18446496144618618</v>
      </c>
      <c r="G12" s="348">
        <f>'Por Región (G)'!Q10</f>
        <v>2357.635047349107</v>
      </c>
      <c r="H12" s="203">
        <f>'Por Región (G)'!R10</f>
        <v>2546.7001107678861</v>
      </c>
      <c r="I12" s="204">
        <f>+H12/G12-1</f>
        <v>8.0192675974749106E-2</v>
      </c>
      <c r="J12" s="26"/>
      <c r="L12" s="146" t="s">
        <v>10</v>
      </c>
      <c r="M12" s="235">
        <f>E10</f>
        <v>355.6945818787006</v>
      </c>
    </row>
    <row r="13" spans="2:13">
      <c r="C13" s="205" t="s">
        <v>11</v>
      </c>
      <c r="D13" s="206">
        <f>'Por Región (G)'!O11</f>
        <v>37.312020608421335</v>
      </c>
      <c r="E13" s="207">
        <f>'Por Región (G)'!P11</f>
        <v>35.401473436394667</v>
      </c>
      <c r="F13" s="208">
        <f>+E13/D13-1</f>
        <v>-5.1204602186445403E-2</v>
      </c>
      <c r="G13" s="349">
        <f>'Por Región (G)'!Q11</f>
        <v>240.40398780682131</v>
      </c>
      <c r="H13" s="207">
        <f>'Por Región (G)'!R11</f>
        <v>134.10589374557867</v>
      </c>
      <c r="I13" s="208">
        <f>+H13/G13-1</f>
        <v>-0.44216443758270507</v>
      </c>
      <c r="J13" s="26"/>
      <c r="L13" s="146" t="s">
        <v>11</v>
      </c>
      <c r="M13" s="235">
        <f>E13</f>
        <v>35.401473436394667</v>
      </c>
    </row>
    <row r="14" spans="2:13" ht="13.8" thickBot="1">
      <c r="C14" s="211" t="s">
        <v>108</v>
      </c>
      <c r="D14" s="212">
        <f>SUM(D10:D13)</f>
        <v>3322.3267419121794</v>
      </c>
      <c r="E14" s="213">
        <f>SUM(E10:E13)</f>
        <v>4652.0618096966882</v>
      </c>
      <c r="F14" s="214">
        <f>+E14/D14-1</f>
        <v>0.40024211075012261</v>
      </c>
      <c r="G14" s="350">
        <f>SUM(G10:G13)</f>
        <v>17342.920756858373</v>
      </c>
      <c r="H14" s="213">
        <f>SUM(H10:H13)</f>
        <v>18898.14017790672</v>
      </c>
      <c r="I14" s="214">
        <f>+H14/G14-1</f>
        <v>8.96745965026291E-2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3" t="s">
        <v>93</v>
      </c>
      <c r="D18" s="393"/>
      <c r="E18" s="393"/>
      <c r="F18" s="393"/>
      <c r="G18" s="394" t="s">
        <v>107</v>
      </c>
      <c r="H18" s="395"/>
      <c r="I18" s="395"/>
      <c r="J18" s="39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2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89" t="s">
        <v>13</v>
      </c>
      <c r="D54" s="391" t="s">
        <v>131</v>
      </c>
      <c r="E54" s="392"/>
      <c r="F54" s="392"/>
      <c r="G54" s="392"/>
      <c r="H54" s="392"/>
      <c r="I54" s="19"/>
      <c r="J54" s="19"/>
    </row>
    <row r="55" spans="3:13">
      <c r="C55" s="390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3">
        <f>'Resumen (G)'!F14-'PorZona (G)'!D58</f>
        <v>91.006870672500057</v>
      </c>
      <c r="E56" s="220">
        <v>173.29555835829632</v>
      </c>
      <c r="F56" s="220">
        <v>0</v>
      </c>
      <c r="G56" s="220">
        <v>91.392152847904242</v>
      </c>
      <c r="H56" s="220">
        <f>SUM(D56:G56)</f>
        <v>355.6945818787006</v>
      </c>
      <c r="I56" s="338"/>
      <c r="K56" s="313"/>
      <c r="L56" s="326"/>
      <c r="M56" s="326"/>
    </row>
    <row r="57" spans="3:13">
      <c r="C57" s="217" t="s">
        <v>9</v>
      </c>
      <c r="D57" s="344">
        <v>0</v>
      </c>
      <c r="E57" s="221">
        <v>2674.6371082469127</v>
      </c>
      <c r="F57" s="345">
        <v>6.4619999999999999E-3</v>
      </c>
      <c r="G57" s="221">
        <v>960.12662915429428</v>
      </c>
      <c r="H57" s="221">
        <f>SUM(D57:G57)</f>
        <v>3634.7701994012068</v>
      </c>
      <c r="I57" s="338"/>
      <c r="K57" s="313"/>
      <c r="L57" s="326"/>
      <c r="M57" s="326"/>
    </row>
    <row r="58" spans="3:13">
      <c r="C58" s="217" t="s">
        <v>12</v>
      </c>
      <c r="D58" s="344">
        <v>70.221459230000008</v>
      </c>
      <c r="E58" s="221">
        <v>421.79484958906085</v>
      </c>
      <c r="F58" s="221">
        <f>'Resumen (G)'!D15</f>
        <v>62.391470147499973</v>
      </c>
      <c r="G58" s="221">
        <v>71.787776013825123</v>
      </c>
      <c r="H58" s="221">
        <f>SUM(D58:G58)</f>
        <v>626.19555498038596</v>
      </c>
      <c r="I58" s="338"/>
      <c r="K58" s="313"/>
      <c r="L58" s="326"/>
      <c r="M58" s="326"/>
    </row>
    <row r="59" spans="3:13">
      <c r="C59" s="218" t="s">
        <v>11</v>
      </c>
      <c r="D59" s="346">
        <v>0</v>
      </c>
      <c r="E59" s="222">
        <v>0</v>
      </c>
      <c r="F59" s="222">
        <v>0</v>
      </c>
      <c r="G59" s="222">
        <f>E13</f>
        <v>35.401473436394667</v>
      </c>
      <c r="H59" s="222">
        <f>SUM(D59:G59)</f>
        <v>35.401473436394667</v>
      </c>
      <c r="I59" s="338"/>
      <c r="K59" s="19"/>
      <c r="L59" s="326"/>
      <c r="M59" s="326"/>
    </row>
    <row r="60" spans="3:13" ht="13.8" thickBot="1">
      <c r="C60" s="116" t="s">
        <v>108</v>
      </c>
      <c r="D60" s="223">
        <f>SUM(D56:D59)</f>
        <v>161.22832990250006</v>
      </c>
      <c r="E60" s="224">
        <f>SUM(E56:E59)</f>
        <v>3269.7275161942698</v>
      </c>
      <c r="F60" s="224">
        <f>SUM(F56:F59)</f>
        <v>62.397932147499972</v>
      </c>
      <c r="G60" s="224">
        <f>SUM(G56:G59)</f>
        <v>1158.7080314524183</v>
      </c>
      <c r="H60" s="224">
        <f>SUM(H56:H59)</f>
        <v>4652.0618096966882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1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80" zoomScaleNormal="100" zoomScaleSheetLayoutView="80" workbookViewId="0">
      <selection activeCell="C3" sqref="C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396" t="s">
        <v>126</v>
      </c>
      <c r="E6" s="397"/>
      <c r="F6" s="385" t="s">
        <v>74</v>
      </c>
      <c r="G6" s="387" t="s">
        <v>127</v>
      </c>
      <c r="H6" s="388"/>
      <c r="I6" s="385" t="s">
        <v>74</v>
      </c>
      <c r="O6" s="47"/>
      <c r="P6" s="86"/>
      <c r="Q6" s="398" t="s">
        <v>116</v>
      </c>
      <c r="R6" s="398"/>
    </row>
    <row r="7" spans="3:19" ht="12.75" customHeight="1">
      <c r="C7" s="110"/>
      <c r="D7" s="111">
        <v>2020</v>
      </c>
      <c r="E7" s="97">
        <v>2021</v>
      </c>
      <c r="F7" s="386"/>
      <c r="G7" s="242">
        <v>2020</v>
      </c>
      <c r="H7" s="97">
        <v>2021</v>
      </c>
      <c r="I7" s="386"/>
      <c r="N7" s="54"/>
      <c r="O7" s="323">
        <v>2020</v>
      </c>
      <c r="P7" s="325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362">
        <v>3.1532637430720003</v>
      </c>
      <c r="E8" s="361">
        <v>3.2416993218986669</v>
      </c>
      <c r="F8" s="226">
        <f>+E8/D8-1</f>
        <v>2.8045728499865419E-2</v>
      </c>
      <c r="G8" s="360">
        <v>12.008381232672003</v>
      </c>
      <c r="H8" s="361">
        <v>12.966797287594668</v>
      </c>
      <c r="I8" s="226">
        <f>+H8/G8-1</f>
        <v>7.9812260816223723E-2</v>
      </c>
      <c r="J8" s="26"/>
      <c r="K8" s="46"/>
      <c r="L8" s="46"/>
      <c r="N8" s="57" t="s">
        <v>10</v>
      </c>
      <c r="O8" s="71">
        <f>SUM(D8,D13,D20,D21,D27,D29,D31)</f>
        <v>267.78198027348907</v>
      </c>
      <c r="P8" s="71">
        <f t="shared" ref="P8" si="0">SUM(E8,E13,E20,E21,E27,E29,E31)</f>
        <v>355.6945818787006</v>
      </c>
      <c r="Q8" s="71">
        <f>SUM(G8,G13,G20,G21,G27,G29,G31)</f>
        <v>1168.1462670873577</v>
      </c>
      <c r="R8" s="71">
        <f>SUM(H8,H13,H20,H21,H27,H29,H31)</f>
        <v>1293.7791923026825</v>
      </c>
    </row>
    <row r="9" spans="3:19" ht="20.100000000000001" customHeight="1">
      <c r="C9" s="119" t="s">
        <v>18</v>
      </c>
      <c r="D9" s="225">
        <v>224.51667658980318</v>
      </c>
      <c r="E9" s="287">
        <v>258.13678650323305</v>
      </c>
      <c r="F9" s="227">
        <f t="shared" ref="F9:F32" si="1">+E9/D9-1</f>
        <v>0.14974437722884404</v>
      </c>
      <c r="G9" s="243">
        <v>1011.1279596909033</v>
      </c>
      <c r="H9" s="287">
        <v>1046.5243114104333</v>
      </c>
      <c r="I9" s="302">
        <f t="shared" ref="I9:I32" si="2">+H9/G9-1</f>
        <v>3.5006797488174035E-2</v>
      </c>
      <c r="J9" s="26"/>
      <c r="K9" s="46"/>
      <c r="L9" s="46"/>
      <c r="N9" s="57" t="s">
        <v>9</v>
      </c>
      <c r="O9" s="323">
        <f>SUM(D9,D14,D16,D17,D19,D22,D26,D32)</f>
        <v>2488.5589723982066</v>
      </c>
      <c r="P9" s="323">
        <f>SUM(E9,E14,E16,E17,E19,E22,E26,E32)</f>
        <v>3634.7701994012068</v>
      </c>
      <c r="Q9" s="323">
        <f>SUM(G9,G14,G16,G17,G19,G22,G26,G32)</f>
        <v>13576.735454615089</v>
      </c>
      <c r="R9" s="323">
        <f>SUM(H9,H14,H16,H17,H19,H22,H26,H32)</f>
        <v>14923.554981090572</v>
      </c>
    </row>
    <row r="10" spans="3:19" ht="20.100000000000001" customHeight="1">
      <c r="C10" s="120" t="s">
        <v>19</v>
      </c>
      <c r="D10" s="225">
        <v>4.6016008226921841</v>
      </c>
      <c r="E10" s="287">
        <v>4.5422396666666671</v>
      </c>
      <c r="F10" s="227">
        <f t="shared" si="1"/>
        <v>-1.2900109834122375E-2</v>
      </c>
      <c r="G10" s="243">
        <v>19.190148744886784</v>
      </c>
      <c r="H10" s="287">
        <v>17.958958666666664</v>
      </c>
      <c r="I10" s="227">
        <f t="shared" si="2"/>
        <v>-6.4157401518222801E-2</v>
      </c>
      <c r="J10" s="26"/>
      <c r="K10" s="46"/>
      <c r="L10" s="46"/>
      <c r="N10" s="54" t="s">
        <v>12</v>
      </c>
      <c r="O10" s="323">
        <f>SUM(D10,D11,D12,D15,D18,D24,D25,D28,D30)</f>
        <v>528.67376863206255</v>
      </c>
      <c r="P10" s="323">
        <f t="shared" ref="P10" si="3">SUM(E10,E11,E12,E15,E18,E24,E25,E28,E30)</f>
        <v>626.19555498038596</v>
      </c>
      <c r="Q10" s="323">
        <f>SUM(G10,G11,G12,G15,G18,G24,G25,G28,G30)</f>
        <v>2357.635047349107</v>
      </c>
      <c r="R10" s="323">
        <f>SUM(H10,H11,H12,H15,H18,H24,H25,H28,H30)</f>
        <v>2546.7001107678861</v>
      </c>
    </row>
    <row r="11" spans="3:19" ht="20.100000000000001" customHeight="1">
      <c r="C11" s="119" t="s">
        <v>20</v>
      </c>
      <c r="D11" s="225">
        <v>122.60951866452187</v>
      </c>
      <c r="E11" s="287">
        <v>127.85507262166678</v>
      </c>
      <c r="F11" s="302">
        <f t="shared" si="1"/>
        <v>4.2782599705798896E-2</v>
      </c>
      <c r="G11" s="243">
        <v>500.06668047162754</v>
      </c>
      <c r="H11" s="287">
        <v>445.46022386166675</v>
      </c>
      <c r="I11" s="227">
        <f t="shared" si="2"/>
        <v>-0.109198350424907</v>
      </c>
      <c r="J11" s="26"/>
      <c r="K11" s="46"/>
      <c r="L11" s="46"/>
      <c r="N11" s="324" t="s">
        <v>11</v>
      </c>
      <c r="O11" s="71">
        <f>D23</f>
        <v>37.312020608421335</v>
      </c>
      <c r="P11" s="71">
        <f t="shared" ref="P11" si="4">E23</f>
        <v>35.401473436394667</v>
      </c>
      <c r="Q11" s="71">
        <f>G23</f>
        <v>240.40398780682131</v>
      </c>
      <c r="R11" s="71">
        <f>H23</f>
        <v>134.10589374557867</v>
      </c>
    </row>
    <row r="12" spans="3:19" ht="20.100000000000001" customHeight="1">
      <c r="C12" s="119" t="s">
        <v>21</v>
      </c>
      <c r="D12" s="354">
        <v>0.89985393068182051</v>
      </c>
      <c r="E12" s="318">
        <v>1.1301062333333334</v>
      </c>
      <c r="F12" s="227">
        <f t="shared" si="1"/>
        <v>0.25587742054652174</v>
      </c>
      <c r="G12" s="353">
        <v>3.7713673009258253</v>
      </c>
      <c r="H12" s="318">
        <v>4.3865590333333326</v>
      </c>
      <c r="I12" s="227">
        <f t="shared" si="2"/>
        <v>0.16312167002574518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5">
        <v>122.18806817691646</v>
      </c>
      <c r="E13" s="287">
        <v>121.49508776840405</v>
      </c>
      <c r="F13" s="227">
        <f t="shared" si="1"/>
        <v>-5.671424541298431E-3</v>
      </c>
      <c r="G13" s="243">
        <v>479.22486014297527</v>
      </c>
      <c r="H13" s="287">
        <v>517.35776332649596</v>
      </c>
      <c r="I13" s="227">
        <f t="shared" si="2"/>
        <v>7.9572047184997663E-2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5">
        <v>5.6770544653107669</v>
      </c>
      <c r="E14" s="287">
        <v>117.22409099281076</v>
      </c>
      <c r="F14" s="227">
        <f t="shared" si="1"/>
        <v>19.648752219852767</v>
      </c>
      <c r="G14" s="243">
        <v>586.26401886124302</v>
      </c>
      <c r="H14" s="287">
        <v>622.29696853624307</v>
      </c>
      <c r="I14" s="227">
        <f t="shared" si="2"/>
        <v>6.1461983877145077E-2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5">
        <v>105.78726506666666</v>
      </c>
      <c r="E15" s="287">
        <v>189.49844741583343</v>
      </c>
      <c r="F15" s="227">
        <f t="shared" si="1"/>
        <v>0.79131625433753627</v>
      </c>
      <c r="G15" s="243">
        <v>641.57575126666654</v>
      </c>
      <c r="H15" s="287">
        <v>771.81874725333341</v>
      </c>
      <c r="I15" s="351">
        <f t="shared" si="2"/>
        <v>0.20300486065679291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5">
        <v>868.87094400320007</v>
      </c>
      <c r="E16" s="287">
        <v>980.83489137416689</v>
      </c>
      <c r="F16" s="227">
        <f t="shared" si="1"/>
        <v>0.1288614242928976</v>
      </c>
      <c r="G16" s="243">
        <v>3731.2137206032003</v>
      </c>
      <c r="H16" s="287">
        <v>3801.9641232591671</v>
      </c>
      <c r="I16" s="302">
        <f t="shared" si="2"/>
        <v>1.8961766318904116E-2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5">
        <v>217.19993013333331</v>
      </c>
      <c r="E17" s="287">
        <v>296.18857225099998</v>
      </c>
      <c r="F17" s="227">
        <f t="shared" si="1"/>
        <v>0.36366789836984581</v>
      </c>
      <c r="G17" s="243">
        <v>1214.2311255333329</v>
      </c>
      <c r="H17" s="287">
        <v>1262.6955324215</v>
      </c>
      <c r="I17" s="302">
        <f t="shared" si="2"/>
        <v>3.9913658832357646E-2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5">
        <v>127.49592906666666</v>
      </c>
      <c r="E18" s="287">
        <v>115.08019940955245</v>
      </c>
      <c r="F18" s="227">
        <f t="shared" si="1"/>
        <v>-9.7381381099800657E-2</v>
      </c>
      <c r="G18" s="243">
        <v>476.46118826666662</v>
      </c>
      <c r="H18" s="287">
        <v>525.64819692705248</v>
      </c>
      <c r="I18" s="227">
        <f t="shared" si="2"/>
        <v>0.10323403011969323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5">
        <v>277.12162946666666</v>
      </c>
      <c r="E19" s="287">
        <v>301.41365466333343</v>
      </c>
      <c r="F19" s="227">
        <f t="shared" si="1"/>
        <v>8.7658351473386853E-2</v>
      </c>
      <c r="G19" s="243">
        <v>1237.2953968666668</v>
      </c>
      <c r="H19" s="287">
        <v>1242.8334008758336</v>
      </c>
      <c r="I19" s="302">
        <f t="shared" si="2"/>
        <v>4.4758947808190008E-3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5">
        <v>59.652794977423241</v>
      </c>
      <c r="E20" s="287">
        <v>108.96863153349391</v>
      </c>
      <c r="F20" s="302">
        <f t="shared" si="1"/>
        <v>0.8267146002921606</v>
      </c>
      <c r="G20" s="243">
        <v>252.23795280101712</v>
      </c>
      <c r="H20" s="287">
        <v>287.82920421897575</v>
      </c>
      <c r="I20" s="227">
        <f t="shared" si="2"/>
        <v>0.14110188820805836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54">
        <v>4.6093752666666674</v>
      </c>
      <c r="E21" s="318">
        <v>5.092416233333334</v>
      </c>
      <c r="F21" s="227">
        <f t="shared" si="1"/>
        <v>0.10479532229884692</v>
      </c>
      <c r="G21" s="243">
        <v>20.692022066666674</v>
      </c>
      <c r="H21" s="287">
        <v>20.731926633333341</v>
      </c>
      <c r="I21" s="227">
        <f t="shared" si="2"/>
        <v>1.9285001020248327E-3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5">
        <v>796.9243334065593</v>
      </c>
      <c r="E22" s="287">
        <v>1582.8663439958295</v>
      </c>
      <c r="F22" s="227">
        <f t="shared" si="1"/>
        <v>0.98621911471777546</v>
      </c>
      <c r="G22" s="243">
        <v>5372.6589597264065</v>
      </c>
      <c r="H22" s="287">
        <v>6519.8087157365608</v>
      </c>
      <c r="I22" s="227">
        <f t="shared" si="2"/>
        <v>0.21351620577617503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5">
        <v>37.312020608421335</v>
      </c>
      <c r="E23" s="287">
        <v>35.401473436394667</v>
      </c>
      <c r="F23" s="227">
        <f t="shared" si="1"/>
        <v>-5.1204602186445403E-2</v>
      </c>
      <c r="G23" s="243">
        <v>240.40398780682131</v>
      </c>
      <c r="H23" s="287">
        <v>134.10589374557867</v>
      </c>
      <c r="I23" s="227">
        <f t="shared" si="2"/>
        <v>-0.44216443758270507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54">
        <v>3.6839369999999998</v>
      </c>
      <c r="E24" s="318">
        <v>2.1474317533333331</v>
      </c>
      <c r="F24" s="227">
        <f t="shared" si="1"/>
        <v>-0.4170823894834973</v>
      </c>
      <c r="G24" s="353">
        <v>4.4166889999999999</v>
      </c>
      <c r="H24" s="318">
        <v>2.4960020058333336</v>
      </c>
      <c r="I24" s="302">
        <f t="shared" si="2"/>
        <v>-0.43487032801419034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5">
        <v>56.67145133333333</v>
      </c>
      <c r="E25" s="287">
        <v>56.450972134999994</v>
      </c>
      <c r="F25" s="227">
        <f t="shared" si="1"/>
        <v>-3.8904808884548947E-3</v>
      </c>
      <c r="G25" s="243">
        <v>209.62505933333333</v>
      </c>
      <c r="H25" s="287">
        <v>241.53258680500002</v>
      </c>
      <c r="I25" s="227">
        <f t="shared" si="2"/>
        <v>0.15221237180870273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5">
        <v>96.767766000000009</v>
      </c>
      <c r="E26" s="287">
        <v>96.565911463333336</v>
      </c>
      <c r="F26" s="227">
        <f t="shared" si="1"/>
        <v>-2.0859687580953024E-3</v>
      </c>
      <c r="G26" s="243">
        <v>401.77846199999999</v>
      </c>
      <c r="H26" s="287">
        <v>389.00689764583331</v>
      </c>
      <c r="I26" s="227">
        <f t="shared" si="2"/>
        <v>-3.1787578384843029E-2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5">
        <v>72.235563109410649</v>
      </c>
      <c r="E27" s="287">
        <v>110.29619902157066</v>
      </c>
      <c r="F27" s="227">
        <f t="shared" si="1"/>
        <v>0.52689609208849064</v>
      </c>
      <c r="G27" s="243">
        <v>379.25651484402658</v>
      </c>
      <c r="H27" s="287">
        <v>432.04861483628264</v>
      </c>
      <c r="I27" s="227">
        <f t="shared" si="2"/>
        <v>0.13919892717984661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5">
        <v>93.884765747499998</v>
      </c>
      <c r="E28" s="287">
        <v>116.49779667000006</v>
      </c>
      <c r="F28" s="227">
        <f t="shared" si="1"/>
        <v>0.24085942743167799</v>
      </c>
      <c r="G28" s="243">
        <v>451.50770696500001</v>
      </c>
      <c r="H28" s="287">
        <v>481.92018030750012</v>
      </c>
      <c r="I28" s="227">
        <f t="shared" si="2"/>
        <v>6.7357595171365858E-2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5">
        <v>4.8423669999999994</v>
      </c>
      <c r="E29" s="318">
        <v>5.5</v>
      </c>
      <c r="F29" s="227">
        <f t="shared" si="1"/>
        <v>0.13580816984751487</v>
      </c>
      <c r="G29" s="243">
        <v>20.324344</v>
      </c>
      <c r="H29" s="287">
        <v>18.442693999999999</v>
      </c>
      <c r="I29" s="302">
        <f t="shared" si="2"/>
        <v>-9.2581093884260168E-2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225">
        <v>13.039447000000001</v>
      </c>
      <c r="E30" s="287">
        <v>12.993289075</v>
      </c>
      <c r="F30" s="227">
        <f t="shared" si="1"/>
        <v>-3.539868293494397E-3</v>
      </c>
      <c r="G30" s="243">
        <v>51.020455999999996</v>
      </c>
      <c r="H30" s="287">
        <v>55.478655907500006</v>
      </c>
      <c r="I30" s="227">
        <f t="shared" si="2"/>
        <v>8.7380636258915567E-2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54">
        <v>1.1005480000000003</v>
      </c>
      <c r="E31" s="318">
        <v>1.1005480000000003</v>
      </c>
      <c r="F31" s="302">
        <f>+E31/D31-1</f>
        <v>0</v>
      </c>
      <c r="G31" s="243">
        <v>4.4021920000000012</v>
      </c>
      <c r="H31" s="287">
        <v>4.4021920000000012</v>
      </c>
      <c r="I31" s="227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1.4806383333333333</v>
      </c>
      <c r="E32" s="288">
        <v>1.5399481575</v>
      </c>
      <c r="F32" s="228">
        <f t="shared" si="1"/>
        <v>4.0056928712053352E-2</v>
      </c>
      <c r="G32" s="244">
        <v>22.165811333333327</v>
      </c>
      <c r="H32" s="288">
        <v>38.425031204999996</v>
      </c>
      <c r="I32" s="228">
        <f t="shared" si="2"/>
        <v>0.73352694503971416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6" t="s">
        <v>108</v>
      </c>
      <c r="D33" s="112">
        <f>SUM(D8:D32)</f>
        <v>3322.3267419121785</v>
      </c>
      <c r="E33" s="289">
        <f>SUM(E8:E32)</f>
        <v>4652.0618096966873</v>
      </c>
      <c r="F33" s="117">
        <f>+E33/D33-1</f>
        <v>0.40024211075012284</v>
      </c>
      <c r="G33" s="245">
        <f>SUM(G8:G32)</f>
        <v>17342.92075685837</v>
      </c>
      <c r="H33" s="289">
        <f>SUM(H8:H32)</f>
        <v>18898.140177906716</v>
      </c>
      <c r="I33" s="246">
        <f>+H33/G33-1</f>
        <v>8.96745965026291E-2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5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1582.8663439958295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980.83489137416689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301.41365466333343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296.18857225099998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258.13678650323305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189.49844741583343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20</v>
      </c>
      <c r="O50" s="52">
        <v>127.85507262166678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121.49508776840405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59</v>
      </c>
      <c r="O52" s="53">
        <v>117.22409099281076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36</v>
      </c>
      <c r="O53" s="53">
        <v>116.49779667000006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26</v>
      </c>
      <c r="O54" s="53">
        <v>115.08019940955245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35</v>
      </c>
      <c r="O55" s="52">
        <v>110.29619902157066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28</v>
      </c>
      <c r="O56" s="53">
        <v>108.96863153349391</v>
      </c>
      <c r="P56" s="8"/>
      <c r="S56" s="91"/>
    </row>
    <row r="57" spans="3:19">
      <c r="N57" s="51" t="s">
        <v>34</v>
      </c>
      <c r="O57" s="52">
        <v>96.565911463333336</v>
      </c>
      <c r="S57" s="91"/>
    </row>
    <row r="58" spans="3:19">
      <c r="N58" s="51" t="s">
        <v>33</v>
      </c>
      <c r="O58" s="52">
        <v>56.450972134999994</v>
      </c>
      <c r="S58" s="122"/>
    </row>
    <row r="59" spans="3:19">
      <c r="N59" s="51" t="s">
        <v>31</v>
      </c>
      <c r="O59" s="52">
        <v>35.401473436394667</v>
      </c>
      <c r="S59" s="91"/>
    </row>
    <row r="60" spans="3:19">
      <c r="N60" s="51" t="s">
        <v>38</v>
      </c>
      <c r="O60" s="52">
        <v>12.993289075</v>
      </c>
      <c r="S60" s="91"/>
    </row>
    <row r="61" spans="3:19">
      <c r="N61" s="51" t="s">
        <v>37</v>
      </c>
      <c r="O61" s="52">
        <v>5.5</v>
      </c>
      <c r="S61" s="91"/>
    </row>
    <row r="62" spans="3:19">
      <c r="N62" s="51" t="s">
        <v>29</v>
      </c>
      <c r="O62" s="52">
        <v>5.092416233333334</v>
      </c>
      <c r="S62" s="91"/>
    </row>
    <row r="63" spans="3:19">
      <c r="N63" s="50" t="s">
        <v>19</v>
      </c>
      <c r="O63" s="53">
        <v>4.5422396666666671</v>
      </c>
      <c r="S63" s="91"/>
    </row>
    <row r="64" spans="3:19">
      <c r="N64" s="50" t="s">
        <v>17</v>
      </c>
      <c r="O64" s="53">
        <v>3.2416993218986669</v>
      </c>
      <c r="S64" s="91"/>
    </row>
    <row r="65" spans="6:19">
      <c r="N65" s="50" t="s">
        <v>32</v>
      </c>
      <c r="O65" s="53">
        <v>2.1474317533333331</v>
      </c>
      <c r="S65" s="91"/>
    </row>
    <row r="66" spans="6:19">
      <c r="N66" s="50" t="s">
        <v>40</v>
      </c>
      <c r="O66" s="53">
        <v>1.5399481575</v>
      </c>
      <c r="S66" s="91"/>
    </row>
    <row r="67" spans="6:19">
      <c r="N67" s="51" t="s">
        <v>21</v>
      </c>
      <c r="O67" s="52">
        <v>1.1301062333333334</v>
      </c>
      <c r="S67" s="91"/>
    </row>
    <row r="68" spans="6:19">
      <c r="N68" s="9" t="s">
        <v>39</v>
      </c>
      <c r="O68" s="52">
        <v>1.1005480000000003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2021-05-24T15:51:19Z</dcterms:modified>
</cp:coreProperties>
</file>